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nton\Desktop\ML_13\"/>
    </mc:Choice>
  </mc:AlternateContent>
  <xr:revisionPtr revIDLastSave="0" documentId="13_ncr:1_{7B67EFB5-6FEC-46C7-89EE-A6EFAB3CF787}" xr6:coauthVersionLast="47" xr6:coauthVersionMax="47" xr10:uidLastSave="{00000000-0000-0000-0000-000000000000}"/>
  <bookViews>
    <workbookView visibility="hidden" xWindow="1560" yWindow="1560" windowWidth="49080" windowHeight="18270" xr2:uid="{204BBB59-E9CA-4A75-AF29-E1A9D1494C12}"/>
    <workbookView xWindow="-120" yWindow="-120" windowWidth="57840" windowHeight="23640" xr2:uid="{833889E2-74FA-4FC8-891A-99EBC1FDDC1C}"/>
  </bookViews>
  <sheets>
    <sheet name="1-13 dataset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98" i="4" l="1"/>
  <c r="T798" i="4"/>
  <c r="G798" i="4"/>
  <c r="F798" i="4"/>
  <c r="F800" i="4"/>
  <c r="G800" i="4"/>
  <c r="P800" i="4"/>
  <c r="T800" i="4"/>
  <c r="F799" i="4"/>
  <c r="N799" i="4"/>
  <c r="T799" i="4"/>
  <c r="P799" i="4"/>
  <c r="G799" i="4"/>
  <c r="AF1006" i="4"/>
  <c r="AF1005" i="4"/>
  <c r="AF1004" i="4"/>
  <c r="F394" i="4"/>
  <c r="AD394" i="4" s="1"/>
  <c r="P394" i="4"/>
  <c r="AD633" i="4"/>
  <c r="AD634" i="4"/>
  <c r="AV123" i="4"/>
  <c r="AQ765" i="4" l="1"/>
  <c r="AQ764" i="4"/>
  <c r="AQ763" i="4"/>
  <c r="AM765" i="4"/>
  <c r="AM764" i="4"/>
  <c r="AM763" i="4"/>
  <c r="AL764" i="4"/>
  <c r="AL763" i="4"/>
  <c r="AL765" i="4"/>
  <c r="AQ766" i="4"/>
  <c r="AM766" i="4"/>
  <c r="AL766" i="4"/>
  <c r="AN789" i="4"/>
  <c r="AM789" i="4"/>
  <c r="AL789" i="4"/>
  <c r="AL787" i="4"/>
  <c r="AN787" i="4"/>
  <c r="AM787" i="4"/>
  <c r="AN786" i="4"/>
  <c r="AM786" i="4"/>
  <c r="AL786" i="4"/>
  <c r="AL785" i="4"/>
  <c r="AM785" i="4"/>
  <c r="AN785" i="4"/>
  <c r="AM783" i="4"/>
  <c r="AL783" i="4"/>
  <c r="AM781" i="4"/>
  <c r="AN781" i="4"/>
  <c r="AL781" i="4"/>
  <c r="AL456" i="4"/>
  <c r="AP456" i="4"/>
  <c r="AM456" i="4"/>
  <c r="AL455" i="4"/>
  <c r="AM455" i="4"/>
  <c r="AP455" i="4"/>
  <c r="AP454" i="4"/>
  <c r="AN454" i="4"/>
  <c r="AM454" i="4"/>
  <c r="AL454" i="4"/>
  <c r="AL554" i="4"/>
  <c r="AM555" i="4"/>
  <c r="AL555" i="4"/>
  <c r="AM554" i="4"/>
  <c r="AM553" i="4"/>
  <c r="AL553" i="4"/>
  <c r="AM552" i="4"/>
  <c r="AL552" i="4"/>
  <c r="AV723" i="4"/>
  <c r="AV719" i="4"/>
  <c r="AV716" i="4"/>
  <c r="AV715" i="4"/>
  <c r="AV714" i="4"/>
  <c r="AM247" i="4"/>
  <c r="AN247" i="4"/>
  <c r="AN248" i="4"/>
  <c r="AM248" i="4"/>
  <c r="AL248" i="4"/>
  <c r="AN245" i="4"/>
  <c r="AM245" i="4"/>
  <c r="AL245" i="4"/>
  <c r="AL247" i="4"/>
  <c r="AN246" i="4"/>
  <c r="AM246" i="4"/>
  <c r="AL246" i="4"/>
  <c r="AN244" i="4"/>
  <c r="AM244" i="4"/>
  <c r="AL244" i="4"/>
  <c r="AV1090" i="4"/>
  <c r="AV1089" i="4"/>
  <c r="AV1088" i="4"/>
  <c r="AV1087" i="4"/>
  <c r="AV1083" i="4"/>
  <c r="AV1082" i="4"/>
  <c r="AV1046" i="4"/>
  <c r="AV1045" i="4"/>
  <c r="AV1044" i="4"/>
  <c r="AV995" i="4"/>
  <c r="AV994" i="4"/>
  <c r="AV993" i="4"/>
  <c r="AV992" i="4"/>
  <c r="AV991" i="4"/>
  <c r="AV990" i="4"/>
  <c r="AV896" i="4"/>
  <c r="AV897" i="4"/>
  <c r="AV895" i="4"/>
  <c r="AV894" i="4"/>
  <c r="AV893" i="4"/>
  <c r="AP267" i="4"/>
  <c r="AM267" i="4"/>
  <c r="AL267" i="4"/>
  <c r="AM266" i="4"/>
  <c r="AP266" i="4"/>
  <c r="AL266" i="4"/>
  <c r="AP264" i="4"/>
  <c r="AM264" i="4"/>
  <c r="AL264" i="4"/>
  <c r="AM263" i="4"/>
  <c r="AN263" i="4"/>
  <c r="AL263" i="4"/>
  <c r="AP259" i="4"/>
  <c r="AM259" i="4"/>
  <c r="AL259" i="4"/>
  <c r="AP258" i="4"/>
  <c r="AN258" i="4"/>
  <c r="AM258" i="4"/>
  <c r="AL258" i="4"/>
  <c r="AN257" i="4"/>
  <c r="AM257" i="4"/>
  <c r="AL257" i="4"/>
  <c r="AN256" i="4"/>
  <c r="AM256" i="4"/>
  <c r="AL256" i="4"/>
  <c r="AP255" i="4"/>
  <c r="AM255" i="4"/>
  <c r="AL255" i="4"/>
  <c r="AP254" i="4"/>
  <c r="AM254" i="4"/>
  <c r="AL254" i="4"/>
  <c r="AL253" i="4"/>
  <c r="AM253" i="4"/>
  <c r="AP253" i="4"/>
  <c r="AP252" i="4"/>
  <c r="AN252" i="4"/>
  <c r="AM252" i="4"/>
  <c r="AL252" i="4"/>
  <c r="AN251" i="4"/>
  <c r="AM251" i="4"/>
  <c r="AL251" i="4"/>
  <c r="AN250" i="4"/>
  <c r="AM250" i="4"/>
  <c r="AL250" i="4"/>
  <c r="AN232" i="4"/>
  <c r="AM232" i="4"/>
  <c r="AL232" i="4"/>
  <c r="AN236" i="4"/>
  <c r="AN235" i="4"/>
  <c r="AV2" i="4"/>
  <c r="AM121" i="4"/>
  <c r="AN121" i="4"/>
  <c r="AL121" i="4"/>
  <c r="AN120" i="4"/>
  <c r="AM120" i="4"/>
  <c r="AL120" i="4"/>
  <c r="AN119" i="4"/>
  <c r="AM119" i="4"/>
  <c r="AL119" i="4"/>
  <c r="AN118" i="4"/>
  <c r="AM118" i="4"/>
  <c r="AL118" i="4"/>
  <c r="AN117" i="4"/>
  <c r="AM117" i="4"/>
  <c r="AL117" i="4"/>
  <c r="AN116" i="4"/>
  <c r="AM116" i="4"/>
  <c r="AL116" i="4"/>
  <c r="AN115" i="4"/>
  <c r="AM115" i="4"/>
  <c r="AL115" i="4"/>
  <c r="AN114" i="4"/>
  <c r="AM114" i="4"/>
  <c r="AL114" i="4"/>
  <c r="AN113" i="4"/>
  <c r="AM113" i="4"/>
  <c r="AL113" i="4"/>
  <c r="AL112" i="4"/>
  <c r="AV822" i="4"/>
  <c r="AV823" i="4"/>
  <c r="AV824" i="4"/>
  <c r="AV825" i="4"/>
  <c r="AV804" i="4"/>
  <c r="AN112" i="4"/>
  <c r="AM112" i="4"/>
  <c r="AN111" i="4"/>
  <c r="AM111" i="4"/>
  <c r="AL111" i="4"/>
  <c r="AD168" i="4"/>
  <c r="T1091" i="4"/>
  <c r="T1092" i="4"/>
  <c r="AE618" i="4" l="1"/>
  <c r="AE617" i="4"/>
  <c r="AE616" i="4"/>
  <c r="AE446" i="4"/>
  <c r="AE447" i="4"/>
  <c r="AE448" i="4"/>
  <c r="AE338" i="4"/>
  <c r="AE337" i="4"/>
  <c r="AE336" i="4"/>
  <c r="AE278" i="4"/>
  <c r="AE277" i="4"/>
  <c r="AE276" i="4"/>
  <c r="AE110" i="4"/>
  <c r="AE109" i="4"/>
  <c r="AE108" i="4"/>
  <c r="AE107" i="4"/>
  <c r="H459" i="4"/>
  <c r="F459" i="4"/>
  <c r="AE195" i="4"/>
  <c r="AE194" i="4"/>
  <c r="AE177" i="4"/>
  <c r="AD177" i="4"/>
  <c r="AF1109" i="4"/>
  <c r="AF1110" i="4"/>
  <c r="AE1110" i="4"/>
  <c r="T1110" i="4"/>
  <c r="T1109" i="4"/>
  <c r="T1108" i="4"/>
  <c r="G1110" i="4"/>
  <c r="G1109" i="4"/>
  <c r="G1108" i="4"/>
  <c r="F1110" i="4"/>
  <c r="F1109" i="4"/>
  <c r="F1108" i="4"/>
  <c r="T1114" i="4"/>
  <c r="T1113" i="4"/>
  <c r="T1112" i="4"/>
  <c r="T1111" i="4"/>
  <c r="H1114" i="4"/>
  <c r="H1113" i="4"/>
  <c r="H1112" i="4"/>
  <c r="H1111" i="4"/>
  <c r="F1114" i="4"/>
  <c r="AD1114" i="4" s="1"/>
  <c r="F1113" i="4"/>
  <c r="F1112" i="4"/>
  <c r="F1111" i="4"/>
  <c r="AD1111" i="4" s="1"/>
  <c r="G1107" i="4"/>
  <c r="G1106" i="4"/>
  <c r="F1107" i="4"/>
  <c r="F1106" i="4"/>
  <c r="AE1107" i="4"/>
  <c r="W1107" i="4"/>
  <c r="V1107" i="4"/>
  <c r="U1107" i="4"/>
  <c r="U1106" i="4"/>
  <c r="W1106" i="4"/>
  <c r="V1106" i="4"/>
  <c r="T1107" i="4"/>
  <c r="T1106" i="4"/>
  <c r="V1105" i="4"/>
  <c r="T1105" i="4"/>
  <c r="G1105" i="4"/>
  <c r="F1105" i="4"/>
  <c r="AJ1105" i="4"/>
  <c r="AJ1104" i="4"/>
  <c r="T1104" i="4"/>
  <c r="G1104" i="4"/>
  <c r="F1104" i="4"/>
  <c r="AJ1103" i="4"/>
  <c r="AJ1102" i="4"/>
  <c r="AJ1101" i="4"/>
  <c r="AJ1100" i="4"/>
  <c r="AJ1099" i="4"/>
  <c r="AJ1098" i="4"/>
  <c r="T1103" i="4"/>
  <c r="T1102" i="4"/>
  <c r="T1101" i="4"/>
  <c r="S1103" i="4"/>
  <c r="R1103" i="4"/>
  <c r="Q1103" i="4"/>
  <c r="P1103" i="4"/>
  <c r="O1103" i="4"/>
  <c r="N1103" i="4"/>
  <c r="S1102" i="4"/>
  <c r="R1102" i="4"/>
  <c r="Q1102" i="4"/>
  <c r="P1102" i="4"/>
  <c r="O1102" i="4"/>
  <c r="N1102" i="4"/>
  <c r="L1103" i="4"/>
  <c r="L1102" i="4"/>
  <c r="M1103" i="4"/>
  <c r="M1102" i="4"/>
  <c r="M1101" i="4"/>
  <c r="K1103" i="4"/>
  <c r="J1103" i="4"/>
  <c r="I1103" i="4"/>
  <c r="H1103" i="4"/>
  <c r="K1102" i="4"/>
  <c r="J1102" i="4"/>
  <c r="I1102" i="4"/>
  <c r="H1102" i="4"/>
  <c r="H1101" i="4"/>
  <c r="G1103" i="4"/>
  <c r="F1103" i="4"/>
  <c r="G1102" i="4"/>
  <c r="F1102" i="4"/>
  <c r="G1101" i="4"/>
  <c r="F1101" i="4"/>
  <c r="T1100" i="4"/>
  <c r="T1099" i="4"/>
  <c r="L1100" i="4"/>
  <c r="L1099" i="4"/>
  <c r="S1100" i="4"/>
  <c r="R1100" i="4"/>
  <c r="Q1100" i="4"/>
  <c r="P1100" i="4"/>
  <c r="O1100" i="4"/>
  <c r="N1100" i="4"/>
  <c r="M1100" i="4"/>
  <c r="S1099" i="4"/>
  <c r="R1099" i="4"/>
  <c r="Q1099" i="4"/>
  <c r="P1099" i="4"/>
  <c r="O1099" i="4"/>
  <c r="N1099" i="4"/>
  <c r="M1099" i="4"/>
  <c r="K1100" i="4"/>
  <c r="J1100" i="4"/>
  <c r="I1100" i="4"/>
  <c r="H1100" i="4"/>
  <c r="K1099" i="4"/>
  <c r="J1099" i="4"/>
  <c r="I1099" i="4"/>
  <c r="H1099" i="4"/>
  <c r="G1100" i="4"/>
  <c r="G1099" i="4"/>
  <c r="F1099" i="4"/>
  <c r="F1100" i="4"/>
  <c r="F1098" i="4"/>
  <c r="T1098" i="4"/>
  <c r="L1098" i="4"/>
  <c r="H1098" i="4"/>
  <c r="G1098" i="4"/>
  <c r="AF1097" i="4"/>
  <c r="T1097" i="4"/>
  <c r="O1097" i="4"/>
  <c r="G1097" i="4"/>
  <c r="F1097" i="4"/>
  <c r="AF1096" i="4"/>
  <c r="T1096" i="4"/>
  <c r="G1096" i="4"/>
  <c r="F1096" i="4"/>
  <c r="AF1095" i="4"/>
  <c r="T1095" i="4"/>
  <c r="G1095" i="4"/>
  <c r="F1095" i="4"/>
  <c r="AJ1095" i="4"/>
  <c r="T1094" i="4"/>
  <c r="J1094" i="4"/>
  <c r="G1094" i="4"/>
  <c r="F1094" i="4"/>
  <c r="T1093" i="4"/>
  <c r="G1093" i="4"/>
  <c r="F1093" i="4"/>
  <c r="J1092" i="4"/>
  <c r="H1092" i="4"/>
  <c r="G1092" i="4"/>
  <c r="F1092" i="4"/>
  <c r="AF1091" i="4"/>
  <c r="G1091" i="4"/>
  <c r="F1091" i="4"/>
  <c r="U1090" i="4"/>
  <c r="U1089" i="4"/>
  <c r="U1088" i="4"/>
  <c r="U1087" i="4"/>
  <c r="T1090" i="4"/>
  <c r="T1089" i="4"/>
  <c r="T1088" i="4"/>
  <c r="T1087" i="4"/>
  <c r="G1090" i="4"/>
  <c r="G1089" i="4"/>
  <c r="G1088" i="4"/>
  <c r="G1087" i="4"/>
  <c r="F1090" i="4"/>
  <c r="AD1090" i="4" s="1"/>
  <c r="F1089" i="4"/>
  <c r="F1088" i="4"/>
  <c r="AD1088" i="4" s="1"/>
  <c r="F1087" i="4"/>
  <c r="AF1086" i="4"/>
  <c r="AF1085" i="4"/>
  <c r="AF1084" i="4"/>
  <c r="T1086" i="4"/>
  <c r="T1085" i="4"/>
  <c r="J1086" i="4"/>
  <c r="J1085" i="4"/>
  <c r="G1086" i="4"/>
  <c r="G1085" i="4"/>
  <c r="F1086" i="4"/>
  <c r="F1085" i="4"/>
  <c r="T1084" i="4"/>
  <c r="J1084" i="4"/>
  <c r="G1084" i="4"/>
  <c r="F1084" i="4"/>
  <c r="AF1081" i="4"/>
  <c r="AF1079" i="4"/>
  <c r="AF1078" i="4"/>
  <c r="AF1077" i="4"/>
  <c r="T1081" i="4"/>
  <c r="T1080" i="4"/>
  <c r="T1079" i="4"/>
  <c r="T1078" i="4"/>
  <c r="T1077" i="4"/>
  <c r="J1081" i="4"/>
  <c r="J1080" i="4"/>
  <c r="J1079" i="4"/>
  <c r="J1078" i="4"/>
  <c r="J1077" i="4"/>
  <c r="G1081" i="4"/>
  <c r="G1080" i="4"/>
  <c r="G1079" i="4"/>
  <c r="G1078" i="4"/>
  <c r="G1077" i="4"/>
  <c r="F1081" i="4"/>
  <c r="F1080" i="4"/>
  <c r="F1079" i="4"/>
  <c r="F1078" i="4"/>
  <c r="F1077" i="4"/>
  <c r="T1083" i="4"/>
  <c r="G1083" i="4"/>
  <c r="F1083" i="4"/>
  <c r="T1082" i="4"/>
  <c r="G1082" i="4"/>
  <c r="F1082" i="4"/>
  <c r="T1076" i="4"/>
  <c r="G1076" i="4"/>
  <c r="F1076" i="4"/>
  <c r="AB1075" i="4"/>
  <c r="T1075" i="4"/>
  <c r="G1075" i="4"/>
  <c r="F1075" i="4"/>
  <c r="AB1074" i="4"/>
  <c r="T1074" i="4"/>
  <c r="G1074" i="4"/>
  <c r="F1074" i="4"/>
  <c r="AB1073" i="4"/>
  <c r="T1073" i="4"/>
  <c r="G1073" i="4"/>
  <c r="F1073" i="4"/>
  <c r="AB1072" i="4"/>
  <c r="T1072" i="4"/>
  <c r="G1072" i="4"/>
  <c r="F1072" i="4"/>
  <c r="T1071" i="4"/>
  <c r="G1071" i="4"/>
  <c r="F1071" i="4"/>
  <c r="AF1070" i="4"/>
  <c r="V1070" i="4"/>
  <c r="T1070" i="4"/>
  <c r="J1070" i="4"/>
  <c r="G1070" i="4"/>
  <c r="F1070" i="4"/>
  <c r="AF1069" i="4"/>
  <c r="V1069" i="4"/>
  <c r="T1069" i="4"/>
  <c r="J1069" i="4"/>
  <c r="G1069" i="4"/>
  <c r="F1069" i="4"/>
  <c r="AF1068" i="4"/>
  <c r="V1068" i="4"/>
  <c r="T1068" i="4"/>
  <c r="J1068" i="4"/>
  <c r="G1068" i="4"/>
  <c r="F1068" i="4"/>
  <c r="T1067" i="4"/>
  <c r="G1067" i="4"/>
  <c r="F1067" i="4"/>
  <c r="T1066" i="4"/>
  <c r="P1066" i="4"/>
  <c r="G1066" i="4"/>
  <c r="F1066" i="4"/>
  <c r="T1065" i="4"/>
  <c r="P1065" i="4"/>
  <c r="G1065" i="4"/>
  <c r="F1065" i="4"/>
  <c r="T1064" i="4"/>
  <c r="G1064" i="4"/>
  <c r="F1064" i="4"/>
  <c r="T1063" i="4"/>
  <c r="G1063" i="4"/>
  <c r="F1063" i="4"/>
  <c r="W1062" i="4"/>
  <c r="T1062" i="4"/>
  <c r="G1062" i="4"/>
  <c r="F1062" i="4"/>
  <c r="W1061" i="4"/>
  <c r="T1061" i="4"/>
  <c r="G1061" i="4"/>
  <c r="F1061" i="4"/>
  <c r="T1060" i="4"/>
  <c r="J1060" i="4"/>
  <c r="G1060" i="4"/>
  <c r="F1060" i="4"/>
  <c r="J1059" i="4"/>
  <c r="J1058" i="4"/>
  <c r="J1056" i="4"/>
  <c r="J1055" i="4"/>
  <c r="J1054" i="4"/>
  <c r="T1059" i="4"/>
  <c r="T1058" i="4"/>
  <c r="T1057" i="4"/>
  <c r="T1056" i="4"/>
  <c r="T1055" i="4"/>
  <c r="T1054" i="4"/>
  <c r="T1053" i="4"/>
  <c r="G1059" i="4"/>
  <c r="G1058" i="4"/>
  <c r="G1057" i="4"/>
  <c r="H1056" i="4"/>
  <c r="H1055" i="4"/>
  <c r="H1054" i="4"/>
  <c r="H1053" i="4"/>
  <c r="F1059" i="4"/>
  <c r="F1058" i="4"/>
  <c r="F1057" i="4"/>
  <c r="F1056" i="4"/>
  <c r="F1055" i="4"/>
  <c r="F1054" i="4"/>
  <c r="F1053" i="4"/>
  <c r="Z1052" i="4"/>
  <c r="Z1051" i="4"/>
  <c r="Z1050" i="4"/>
  <c r="Z1049" i="4"/>
  <c r="Z1048" i="4"/>
  <c r="Z1047" i="4"/>
  <c r="T1052" i="4"/>
  <c r="T1051" i="4"/>
  <c r="T1050" i="4"/>
  <c r="T1049" i="4"/>
  <c r="T1048" i="4"/>
  <c r="T1047" i="4"/>
  <c r="G1052" i="4"/>
  <c r="G1051" i="4"/>
  <c r="G1050" i="4"/>
  <c r="G1049" i="4"/>
  <c r="G1048" i="4"/>
  <c r="G1047" i="4"/>
  <c r="F1051" i="4"/>
  <c r="F1050" i="4"/>
  <c r="F1049" i="4"/>
  <c r="F1048" i="4"/>
  <c r="F1047" i="4"/>
  <c r="F1052" i="4"/>
  <c r="F1045" i="4"/>
  <c r="G1045" i="4"/>
  <c r="T1045" i="4"/>
  <c r="F1046" i="4"/>
  <c r="G1046" i="4"/>
  <c r="T1046" i="4"/>
  <c r="T1044" i="4"/>
  <c r="G1044" i="4"/>
  <c r="F1044" i="4"/>
  <c r="T977" i="4"/>
  <c r="H977" i="4"/>
  <c r="F977" i="4"/>
  <c r="T976" i="4"/>
  <c r="H976" i="4"/>
  <c r="G976" i="4"/>
  <c r="F976" i="4"/>
  <c r="T975" i="4"/>
  <c r="H975" i="4"/>
  <c r="G975" i="4"/>
  <c r="F975" i="4"/>
  <c r="T974" i="4"/>
  <c r="H974" i="4"/>
  <c r="G974" i="4"/>
  <c r="F974" i="4"/>
  <c r="T973" i="4"/>
  <c r="H973" i="4"/>
  <c r="G973" i="4"/>
  <c r="F973" i="4"/>
  <c r="T972" i="4"/>
  <c r="G972" i="4"/>
  <c r="F972" i="4"/>
  <c r="T971" i="4"/>
  <c r="H971" i="4"/>
  <c r="G971" i="4"/>
  <c r="F971" i="4"/>
  <c r="T970" i="4"/>
  <c r="H970" i="4"/>
  <c r="G970" i="4"/>
  <c r="F970" i="4"/>
  <c r="T969" i="4"/>
  <c r="H969" i="4"/>
  <c r="G969" i="4"/>
  <c r="F969" i="4"/>
  <c r="T968" i="4"/>
  <c r="H968" i="4"/>
  <c r="G968" i="4"/>
  <c r="F968" i="4"/>
  <c r="T967" i="4"/>
  <c r="H967" i="4"/>
  <c r="G967" i="4"/>
  <c r="F967" i="4"/>
  <c r="T966" i="4"/>
  <c r="H966" i="4"/>
  <c r="G966" i="4"/>
  <c r="F966" i="4"/>
  <c r="T965" i="4"/>
  <c r="H965" i="4"/>
  <c r="G965" i="4"/>
  <c r="F965" i="4"/>
  <c r="T964" i="4"/>
  <c r="H964" i="4"/>
  <c r="G964" i="4"/>
  <c r="F964" i="4"/>
  <c r="T963" i="4"/>
  <c r="H963" i="4"/>
  <c r="G963" i="4"/>
  <c r="F963" i="4"/>
  <c r="T962" i="4"/>
  <c r="H962" i="4"/>
  <c r="G962" i="4"/>
  <c r="F962" i="4"/>
  <c r="T961" i="4"/>
  <c r="H961" i="4"/>
  <c r="G961" i="4"/>
  <c r="F961" i="4"/>
  <c r="T960" i="4"/>
  <c r="H960" i="4"/>
  <c r="G960" i="4"/>
  <c r="F960" i="4"/>
  <c r="T959" i="4"/>
  <c r="T958" i="4"/>
  <c r="T957" i="4"/>
  <c r="T956" i="4"/>
  <c r="T955" i="4"/>
  <c r="T954" i="4"/>
  <c r="G958" i="4"/>
  <c r="H955" i="4"/>
  <c r="H956" i="4"/>
  <c r="G957" i="4"/>
  <c r="H957" i="4"/>
  <c r="G956" i="4"/>
  <c r="H958" i="4"/>
  <c r="G955" i="4"/>
  <c r="H959" i="4"/>
  <c r="G954" i="4"/>
  <c r="F959" i="4"/>
  <c r="F958" i="4"/>
  <c r="F957" i="4"/>
  <c r="F956" i="4"/>
  <c r="F955" i="4"/>
  <c r="F954" i="4"/>
  <c r="T953" i="4"/>
  <c r="T952" i="4"/>
  <c r="T951" i="4"/>
  <c r="T950" i="4"/>
  <c r="T949" i="4"/>
  <c r="T948" i="4"/>
  <c r="H953" i="4"/>
  <c r="H952" i="4"/>
  <c r="H951" i="4"/>
  <c r="H950" i="4"/>
  <c r="H949" i="4"/>
  <c r="H948" i="4"/>
  <c r="G953" i="4"/>
  <c r="G952" i="4"/>
  <c r="G951" i="4"/>
  <c r="G950" i="4"/>
  <c r="G949" i="4"/>
  <c r="G948" i="4"/>
  <c r="F953" i="4"/>
  <c r="F952" i="4"/>
  <c r="F951" i="4"/>
  <c r="F950" i="4"/>
  <c r="F949" i="4"/>
  <c r="F948" i="4"/>
  <c r="T1043" i="4"/>
  <c r="P1043" i="4"/>
  <c r="J1043" i="4"/>
  <c r="G1043" i="4"/>
  <c r="F1043" i="4"/>
  <c r="P1042" i="4"/>
  <c r="T1042" i="4"/>
  <c r="J1042" i="4"/>
  <c r="G1042" i="4"/>
  <c r="F1042" i="4"/>
  <c r="T1041" i="4"/>
  <c r="G1041" i="4"/>
  <c r="F1041" i="4"/>
  <c r="T1040" i="4"/>
  <c r="J1040" i="4"/>
  <c r="G1040" i="4"/>
  <c r="F1040" i="4"/>
  <c r="T1039" i="4"/>
  <c r="G1039" i="4"/>
  <c r="F1039" i="4"/>
  <c r="T1038" i="4"/>
  <c r="G1038" i="4"/>
  <c r="F1038" i="4"/>
  <c r="T1037" i="4"/>
  <c r="G1037" i="4"/>
  <c r="F1037" i="4"/>
  <c r="AH1039" i="4"/>
  <c r="AH1038" i="4"/>
  <c r="AH1037" i="4"/>
  <c r="T1036" i="4"/>
  <c r="G1036" i="4"/>
  <c r="F1036" i="4"/>
  <c r="G1035" i="4"/>
  <c r="G1034" i="4"/>
  <c r="T1035" i="4"/>
  <c r="T1034" i="4"/>
  <c r="F1033" i="4"/>
  <c r="G1033" i="4"/>
  <c r="T1033" i="4"/>
  <c r="R1034" i="4"/>
  <c r="Q1035" i="4"/>
  <c r="F1034" i="4"/>
  <c r="F1035" i="4"/>
  <c r="T1032" i="4"/>
  <c r="G1032" i="4"/>
  <c r="F1032" i="4"/>
  <c r="AE1031" i="4"/>
  <c r="AE1030" i="4"/>
  <c r="AE1029" i="4"/>
  <c r="AE1028" i="4"/>
  <c r="T1031" i="4"/>
  <c r="T1030" i="4"/>
  <c r="T1029" i="4"/>
  <c r="T1028" i="4"/>
  <c r="J1031" i="4"/>
  <c r="J1030" i="4"/>
  <c r="J1029" i="4"/>
  <c r="G1031" i="4"/>
  <c r="G1030" i="4"/>
  <c r="G1029" i="4"/>
  <c r="G1028" i="4"/>
  <c r="F1031" i="4"/>
  <c r="F1030" i="4"/>
  <c r="F1029" i="4"/>
  <c r="F1028" i="4"/>
  <c r="AE1027" i="4"/>
  <c r="AE1026" i="4"/>
  <c r="AE1025" i="4"/>
  <c r="T1027" i="4"/>
  <c r="G1027" i="4"/>
  <c r="F1027" i="4"/>
  <c r="T1026" i="4"/>
  <c r="G1026" i="4"/>
  <c r="F1026" i="4"/>
  <c r="T1025" i="4"/>
  <c r="G1025" i="4"/>
  <c r="F1025" i="4"/>
  <c r="T1024" i="4"/>
  <c r="G1024" i="4"/>
  <c r="F1024" i="4"/>
  <c r="AE1023" i="4"/>
  <c r="AE1022" i="4"/>
  <c r="T1023" i="4"/>
  <c r="J1023" i="4"/>
  <c r="G1023" i="4"/>
  <c r="F1023" i="4"/>
  <c r="T1022" i="4"/>
  <c r="J1022" i="4"/>
  <c r="G1022" i="4"/>
  <c r="F1022" i="4"/>
  <c r="F1021" i="4"/>
  <c r="G1021" i="4"/>
  <c r="J1021" i="4"/>
  <c r="T1021" i="4"/>
  <c r="AE1020" i="4"/>
  <c r="AE1019" i="4"/>
  <c r="AE1018" i="4"/>
  <c r="T1020" i="4"/>
  <c r="J1020" i="4"/>
  <c r="G1020" i="4"/>
  <c r="F1020" i="4"/>
  <c r="T1019" i="4"/>
  <c r="J1019" i="4"/>
  <c r="G1019" i="4"/>
  <c r="F1019" i="4"/>
  <c r="T1018" i="4"/>
  <c r="J1018" i="4"/>
  <c r="G1018" i="4"/>
  <c r="F1018" i="4"/>
  <c r="T1017" i="4"/>
  <c r="J1017" i="4"/>
  <c r="G1017" i="4"/>
  <c r="F1017" i="4"/>
  <c r="AE1016" i="4"/>
  <c r="AE1015" i="4"/>
  <c r="T1016" i="4"/>
  <c r="J1016" i="4"/>
  <c r="G1016" i="4"/>
  <c r="F1016" i="4"/>
  <c r="T1015" i="4"/>
  <c r="J1015" i="4"/>
  <c r="G1015" i="4"/>
  <c r="F1015" i="4"/>
  <c r="T1014" i="4"/>
  <c r="J1014" i="4"/>
  <c r="G1014" i="4"/>
  <c r="F1014" i="4"/>
  <c r="AE1013" i="4"/>
  <c r="AE1012" i="4"/>
  <c r="AE1011" i="4"/>
  <c r="AE1010" i="4"/>
  <c r="T1013" i="4"/>
  <c r="G1013" i="4"/>
  <c r="F1013" i="4"/>
  <c r="T1012" i="4"/>
  <c r="G1012" i="4"/>
  <c r="F1012" i="4"/>
  <c r="T1011" i="4"/>
  <c r="G1011" i="4"/>
  <c r="F1011" i="4"/>
  <c r="T1010" i="4"/>
  <c r="G1010" i="4"/>
  <c r="F1010" i="4"/>
  <c r="T1009" i="4"/>
  <c r="G1009" i="4"/>
  <c r="F1009" i="4"/>
  <c r="AE1008" i="4"/>
  <c r="T1008" i="4"/>
  <c r="J1008" i="4"/>
  <c r="G1008" i="4"/>
  <c r="F1008" i="4"/>
  <c r="T1007" i="4"/>
  <c r="J1007" i="4"/>
  <c r="G1007" i="4"/>
  <c r="F1007" i="4"/>
  <c r="T1006" i="4"/>
  <c r="G1006" i="4"/>
  <c r="F1006" i="4"/>
  <c r="T1005" i="4"/>
  <c r="G1005" i="4"/>
  <c r="F1005" i="4"/>
  <c r="T1004" i="4"/>
  <c r="G1004" i="4"/>
  <c r="F1004" i="4"/>
  <c r="AJ1005" i="4"/>
  <c r="AE1003" i="4"/>
  <c r="AE1002" i="4"/>
  <c r="AE1001" i="4"/>
  <c r="AD1003" i="4"/>
  <c r="AD1002" i="4"/>
  <c r="AD1001" i="4"/>
  <c r="AF1000" i="4"/>
  <c r="T1000" i="4"/>
  <c r="G1000" i="4"/>
  <c r="F1000" i="4"/>
  <c r="T999" i="4"/>
  <c r="U999" i="4"/>
  <c r="G999" i="4"/>
  <c r="F999" i="4"/>
  <c r="T998" i="4"/>
  <c r="G998" i="4"/>
  <c r="F998" i="4"/>
  <c r="T997" i="4"/>
  <c r="G997" i="4"/>
  <c r="F997" i="4"/>
  <c r="V996" i="4"/>
  <c r="T996" i="4"/>
  <c r="J996" i="4"/>
  <c r="G996" i="4"/>
  <c r="F996" i="4"/>
  <c r="P995" i="4"/>
  <c r="P994" i="4"/>
  <c r="F995" i="4"/>
  <c r="F994" i="4"/>
  <c r="T995" i="4"/>
  <c r="J995" i="4"/>
  <c r="G995" i="4"/>
  <c r="T994" i="4"/>
  <c r="J994" i="4"/>
  <c r="G994" i="4"/>
  <c r="P993" i="4"/>
  <c r="T993" i="4"/>
  <c r="J993" i="4"/>
  <c r="G993" i="4"/>
  <c r="F993" i="4"/>
  <c r="J990" i="4"/>
  <c r="I992" i="4"/>
  <c r="I991" i="4"/>
  <c r="G992" i="4"/>
  <c r="G991" i="4"/>
  <c r="F991" i="4"/>
  <c r="T992" i="4"/>
  <c r="J992" i="4"/>
  <c r="F992" i="4"/>
  <c r="T991" i="4"/>
  <c r="J991" i="4"/>
  <c r="T990" i="4"/>
  <c r="I990" i="4"/>
  <c r="G990" i="4"/>
  <c r="F990" i="4"/>
  <c r="T989" i="4"/>
  <c r="G989" i="4"/>
  <c r="F989" i="4"/>
  <c r="T988" i="4"/>
  <c r="J988" i="4"/>
  <c r="G988" i="4"/>
  <c r="F988" i="4"/>
  <c r="F986" i="4"/>
  <c r="F987" i="4"/>
  <c r="J987" i="4"/>
  <c r="J986" i="4"/>
  <c r="J985" i="4"/>
  <c r="F985" i="4"/>
  <c r="J984" i="4"/>
  <c r="F984" i="4"/>
  <c r="J983" i="4"/>
  <c r="F983" i="4"/>
  <c r="J982" i="4"/>
  <c r="F982" i="4"/>
  <c r="T987" i="4"/>
  <c r="G987" i="4"/>
  <c r="T986" i="4"/>
  <c r="G986" i="4"/>
  <c r="T985" i="4"/>
  <c r="G985" i="4"/>
  <c r="T984" i="4"/>
  <c r="G984" i="4"/>
  <c r="T983" i="4"/>
  <c r="G983" i="4"/>
  <c r="T982" i="4"/>
  <c r="G982" i="4"/>
  <c r="T981" i="4"/>
  <c r="J981" i="4"/>
  <c r="G981" i="4"/>
  <c r="F981" i="4"/>
  <c r="AF980" i="4"/>
  <c r="T980" i="4"/>
  <c r="J980" i="4"/>
  <c r="G980" i="4"/>
  <c r="F980" i="4"/>
  <c r="AF979" i="4"/>
  <c r="T979" i="4"/>
  <c r="G979" i="4"/>
  <c r="F979" i="4"/>
  <c r="AF978" i="4"/>
  <c r="T978" i="4"/>
  <c r="G978" i="4"/>
  <c r="F978" i="4"/>
  <c r="H947" i="4"/>
  <c r="H946" i="4"/>
  <c r="H945" i="4"/>
  <c r="H944" i="4"/>
  <c r="H943" i="4"/>
  <c r="H942" i="4"/>
  <c r="G947" i="4"/>
  <c r="G946" i="4"/>
  <c r="G945" i="4"/>
  <c r="G944" i="4"/>
  <c r="G943" i="4"/>
  <c r="T947" i="4"/>
  <c r="F947" i="4"/>
  <c r="T946" i="4"/>
  <c r="F946" i="4"/>
  <c r="T945" i="4"/>
  <c r="F945" i="4"/>
  <c r="T944" i="4"/>
  <c r="F944" i="4"/>
  <c r="T943" i="4"/>
  <c r="F943" i="4"/>
  <c r="T942" i="4"/>
  <c r="G942" i="4"/>
  <c r="F942" i="4"/>
  <c r="T941" i="4"/>
  <c r="G941" i="4"/>
  <c r="F941" i="4"/>
  <c r="T940" i="4"/>
  <c r="G940" i="4"/>
  <c r="F940" i="4"/>
  <c r="T939" i="4"/>
  <c r="G939" i="4"/>
  <c r="F939" i="4"/>
  <c r="T938" i="4"/>
  <c r="G938" i="4"/>
  <c r="F938" i="4"/>
  <c r="AE936" i="4"/>
  <c r="AE935" i="4"/>
  <c r="AE934" i="4"/>
  <c r="W937" i="4"/>
  <c r="W936" i="4"/>
  <c r="W935" i="4"/>
  <c r="W934" i="4"/>
  <c r="T937" i="4"/>
  <c r="T936" i="4"/>
  <c r="T935" i="4"/>
  <c r="T934" i="4"/>
  <c r="G936" i="4"/>
  <c r="G937" i="4"/>
  <c r="G935" i="4"/>
  <c r="G934" i="4"/>
  <c r="F937" i="4"/>
  <c r="F936" i="4"/>
  <c r="F935" i="4"/>
  <c r="F934" i="4"/>
  <c r="T933" i="4"/>
  <c r="G933" i="4"/>
  <c r="F933" i="4"/>
  <c r="G932" i="4"/>
  <c r="F932" i="4"/>
  <c r="AE931" i="4"/>
  <c r="T931" i="4"/>
  <c r="G931" i="4"/>
  <c r="F931" i="4"/>
  <c r="T930" i="4"/>
  <c r="G930" i="4"/>
  <c r="F930" i="4"/>
  <c r="T929" i="4"/>
  <c r="G929" i="4"/>
  <c r="F929" i="4"/>
  <c r="P929" i="4"/>
  <c r="AE927" i="4"/>
  <c r="AE926" i="4"/>
  <c r="AE928" i="4"/>
  <c r="T928" i="4"/>
  <c r="T927" i="4"/>
  <c r="T926" i="4"/>
  <c r="P928" i="4"/>
  <c r="P927" i="4"/>
  <c r="P926" i="4"/>
  <c r="G928" i="4"/>
  <c r="G927" i="4"/>
  <c r="G926" i="4"/>
  <c r="F928" i="4"/>
  <c r="F927" i="4"/>
  <c r="F926" i="4"/>
  <c r="AE925" i="4"/>
  <c r="AE924" i="4"/>
  <c r="AE923" i="4"/>
  <c r="T925" i="4"/>
  <c r="P925" i="4"/>
  <c r="G925" i="4"/>
  <c r="F925" i="4"/>
  <c r="T924" i="4"/>
  <c r="P924" i="4"/>
  <c r="G924" i="4"/>
  <c r="F924" i="4"/>
  <c r="T923" i="4"/>
  <c r="P923" i="4"/>
  <c r="G923" i="4"/>
  <c r="F923" i="4"/>
  <c r="T921" i="4"/>
  <c r="T920" i="4"/>
  <c r="T922" i="4"/>
  <c r="T919" i="4"/>
  <c r="T918" i="4"/>
  <c r="T917" i="4"/>
  <c r="P922" i="4"/>
  <c r="P921" i="4"/>
  <c r="P920" i="4"/>
  <c r="P919" i="4"/>
  <c r="P918" i="4"/>
  <c r="P917" i="4"/>
  <c r="G922" i="4"/>
  <c r="G921" i="4"/>
  <c r="G920" i="4"/>
  <c r="G919" i="4"/>
  <c r="G918" i="4"/>
  <c r="G917" i="4"/>
  <c r="F921" i="4"/>
  <c r="F920" i="4"/>
  <c r="F922" i="4"/>
  <c r="F919" i="4"/>
  <c r="F918" i="4"/>
  <c r="F917" i="4"/>
  <c r="AE916" i="4"/>
  <c r="AE914" i="4"/>
  <c r="W916" i="4"/>
  <c r="W915" i="4"/>
  <c r="W914" i="4"/>
  <c r="W913" i="4"/>
  <c r="T916" i="4"/>
  <c r="T915" i="4"/>
  <c r="T914" i="4"/>
  <c r="T913" i="4"/>
  <c r="G916" i="4"/>
  <c r="G915" i="4"/>
  <c r="G914" i="4"/>
  <c r="G913" i="4"/>
  <c r="F916" i="4"/>
  <c r="AD916" i="4" s="1"/>
  <c r="F915" i="4"/>
  <c r="AD915" i="4" s="1"/>
  <c r="F914" i="4"/>
  <c r="F913" i="4"/>
  <c r="AE912" i="4"/>
  <c r="T909" i="4"/>
  <c r="T910" i="4"/>
  <c r="T911" i="4"/>
  <c r="T912" i="4"/>
  <c r="P912" i="4"/>
  <c r="P911" i="4"/>
  <c r="P910" i="4"/>
  <c r="P909" i="4"/>
  <c r="G912" i="4"/>
  <c r="G911" i="4"/>
  <c r="G910" i="4"/>
  <c r="G909" i="4"/>
  <c r="F911" i="4"/>
  <c r="F910" i="4"/>
  <c r="F912" i="4"/>
  <c r="F909" i="4"/>
  <c r="AE908" i="4"/>
  <c r="AE907" i="4"/>
  <c r="T908" i="4"/>
  <c r="T906" i="4"/>
  <c r="T907" i="4"/>
  <c r="T905" i="4"/>
  <c r="G906" i="4"/>
  <c r="G908" i="4"/>
  <c r="G907" i="4"/>
  <c r="G905" i="4"/>
  <c r="F908" i="4"/>
  <c r="F907" i="4"/>
  <c r="F906" i="4"/>
  <c r="F905" i="4"/>
  <c r="T904" i="4"/>
  <c r="G904" i="4"/>
  <c r="F904" i="4"/>
  <c r="T903" i="4"/>
  <c r="P903" i="4"/>
  <c r="G903" i="4"/>
  <c r="F903" i="4"/>
  <c r="AF902" i="4"/>
  <c r="AF882" i="4"/>
  <c r="T902" i="4"/>
  <c r="G902" i="4"/>
  <c r="F902" i="4"/>
  <c r="V901" i="4"/>
  <c r="V900" i="4"/>
  <c r="V899" i="4"/>
  <c r="T901" i="4"/>
  <c r="T900" i="4"/>
  <c r="T899" i="4"/>
  <c r="T898" i="4"/>
  <c r="G901" i="4"/>
  <c r="G900" i="4"/>
  <c r="G899" i="4"/>
  <c r="G898" i="4"/>
  <c r="F901" i="4"/>
  <c r="F900" i="4"/>
  <c r="F899" i="4"/>
  <c r="F898" i="4"/>
  <c r="AD898" i="4" s="1"/>
  <c r="V897" i="4"/>
  <c r="T897" i="4"/>
  <c r="J897" i="4"/>
  <c r="G897" i="4"/>
  <c r="F897" i="4"/>
  <c r="V896" i="4"/>
  <c r="T896" i="4"/>
  <c r="J896" i="4"/>
  <c r="G896" i="4"/>
  <c r="F896" i="4"/>
  <c r="V895" i="4"/>
  <c r="T895" i="4"/>
  <c r="J895" i="4"/>
  <c r="G895" i="4"/>
  <c r="F895" i="4"/>
  <c r="V894" i="4"/>
  <c r="T894" i="4"/>
  <c r="J894" i="4"/>
  <c r="G894" i="4"/>
  <c r="F894" i="4"/>
  <c r="J893" i="4"/>
  <c r="G893" i="4"/>
  <c r="F893" i="4"/>
  <c r="V893" i="4"/>
  <c r="T893" i="4"/>
  <c r="F892" i="4"/>
  <c r="J892" i="4"/>
  <c r="T892" i="4"/>
  <c r="G892" i="4"/>
  <c r="T891" i="4"/>
  <c r="G891" i="4"/>
  <c r="F891" i="4"/>
  <c r="T890" i="4"/>
  <c r="T889" i="4"/>
  <c r="G890" i="4"/>
  <c r="G889" i="4"/>
  <c r="M890" i="4"/>
  <c r="M889" i="4"/>
  <c r="F890" i="4"/>
  <c r="F889" i="4"/>
  <c r="V888" i="4"/>
  <c r="T888" i="4"/>
  <c r="P888" i="4"/>
  <c r="G888" i="4"/>
  <c r="F888" i="4"/>
  <c r="T887" i="4"/>
  <c r="T886" i="4"/>
  <c r="T885" i="4"/>
  <c r="T884" i="4"/>
  <c r="J887" i="4"/>
  <c r="J886" i="4"/>
  <c r="J885" i="4"/>
  <c r="J884" i="4"/>
  <c r="G887" i="4"/>
  <c r="G886" i="4"/>
  <c r="G885" i="4"/>
  <c r="G884" i="4"/>
  <c r="F887" i="4"/>
  <c r="AD887" i="4" s="1"/>
  <c r="F886" i="4"/>
  <c r="F885" i="4"/>
  <c r="F884" i="4"/>
  <c r="T883" i="4"/>
  <c r="G883" i="4"/>
  <c r="F883" i="4"/>
  <c r="AF881" i="4"/>
  <c r="AF880" i="4"/>
  <c r="AF879" i="4"/>
  <c r="AF878" i="4"/>
  <c r="T882" i="4"/>
  <c r="T881" i="4"/>
  <c r="T880" i="4"/>
  <c r="T879" i="4"/>
  <c r="T878" i="4"/>
  <c r="H882" i="4"/>
  <c r="H881" i="4"/>
  <c r="H880" i="4"/>
  <c r="H879" i="4"/>
  <c r="H878" i="4"/>
  <c r="F882" i="4"/>
  <c r="F881" i="4"/>
  <c r="F880" i="4"/>
  <c r="F879" i="4"/>
  <c r="F878" i="4"/>
  <c r="T877" i="4"/>
  <c r="T876" i="4"/>
  <c r="G877" i="4"/>
  <c r="G876" i="4"/>
  <c r="F877" i="4"/>
  <c r="F876" i="4"/>
  <c r="AH875" i="4"/>
  <c r="AH874" i="4"/>
  <c r="AH873" i="4"/>
  <c r="T875" i="4"/>
  <c r="T874" i="4"/>
  <c r="T873" i="4"/>
  <c r="H874" i="4"/>
  <c r="H875" i="4"/>
  <c r="F874" i="4"/>
  <c r="F875" i="4"/>
  <c r="H873" i="4"/>
  <c r="F873" i="4"/>
  <c r="V872" i="4"/>
  <c r="T872" i="4"/>
  <c r="G872" i="4"/>
  <c r="F872" i="4"/>
  <c r="T867" i="4"/>
  <c r="V868" i="4"/>
  <c r="V869" i="4"/>
  <c r="V870" i="4"/>
  <c r="V871" i="4"/>
  <c r="V867" i="4"/>
  <c r="T868" i="4"/>
  <c r="T869" i="4"/>
  <c r="T870" i="4"/>
  <c r="T871" i="4"/>
  <c r="H871" i="4"/>
  <c r="H870" i="4"/>
  <c r="H869" i="4"/>
  <c r="H868" i="4"/>
  <c r="H867" i="4"/>
  <c r="G868" i="4"/>
  <c r="G869" i="4"/>
  <c r="G870" i="4"/>
  <c r="G871" i="4"/>
  <c r="G867" i="4"/>
  <c r="F871" i="4"/>
  <c r="F870" i="4"/>
  <c r="F869" i="4"/>
  <c r="F868" i="4"/>
  <c r="F867" i="4"/>
  <c r="V866" i="4"/>
  <c r="V865" i="4"/>
  <c r="V864" i="4"/>
  <c r="V863" i="4"/>
  <c r="V862" i="4"/>
  <c r="V861" i="4"/>
  <c r="T866" i="4"/>
  <c r="T865" i="4"/>
  <c r="T864" i="4"/>
  <c r="T863" i="4"/>
  <c r="T862" i="4"/>
  <c r="T861" i="4"/>
  <c r="G866" i="4"/>
  <c r="G865" i="4"/>
  <c r="G864" i="4"/>
  <c r="G863" i="4"/>
  <c r="G862" i="4"/>
  <c r="G861" i="4"/>
  <c r="F866" i="4"/>
  <c r="F865" i="4"/>
  <c r="F864" i="4"/>
  <c r="F863" i="4"/>
  <c r="F862" i="4"/>
  <c r="F861" i="4"/>
  <c r="T860" i="4"/>
  <c r="T859" i="4"/>
  <c r="T858" i="4"/>
  <c r="T857" i="4"/>
  <c r="G860" i="4"/>
  <c r="G859" i="4"/>
  <c r="G858" i="4"/>
  <c r="G857" i="4"/>
  <c r="F860" i="4"/>
  <c r="F859" i="4"/>
  <c r="F858" i="4"/>
  <c r="F857" i="4"/>
  <c r="T856" i="4"/>
  <c r="T855" i="4"/>
  <c r="T854" i="4"/>
  <c r="T853" i="4"/>
  <c r="T852" i="4"/>
  <c r="F854" i="4"/>
  <c r="F856" i="4"/>
  <c r="F855" i="4"/>
  <c r="F853" i="4"/>
  <c r="G856" i="4"/>
  <c r="G855" i="4"/>
  <c r="G854" i="4"/>
  <c r="G853" i="4"/>
  <c r="G852" i="4"/>
  <c r="F852" i="4"/>
  <c r="AV850" i="4"/>
  <c r="AV851" i="4"/>
  <c r="AV849" i="4"/>
  <c r="AV848" i="4"/>
  <c r="AV847" i="4"/>
  <c r="P851" i="4"/>
  <c r="P850" i="4"/>
  <c r="P849" i="4"/>
  <c r="P848" i="4"/>
  <c r="P847" i="4"/>
  <c r="V851" i="4"/>
  <c r="V850" i="4"/>
  <c r="T851" i="4"/>
  <c r="T850" i="4"/>
  <c r="G851" i="4"/>
  <c r="G850" i="4"/>
  <c r="V849" i="4"/>
  <c r="V848" i="4"/>
  <c r="V847" i="4"/>
  <c r="T849" i="4"/>
  <c r="T848" i="4"/>
  <c r="T847" i="4"/>
  <c r="G849" i="4"/>
  <c r="G848" i="4"/>
  <c r="G847" i="4"/>
  <c r="F851" i="4"/>
  <c r="F850" i="4"/>
  <c r="F849" i="4"/>
  <c r="F848" i="4"/>
  <c r="F847" i="4"/>
  <c r="T838" i="4"/>
  <c r="AE846" i="4"/>
  <c r="AE845" i="4"/>
  <c r="AE844" i="4"/>
  <c r="AE839" i="4"/>
  <c r="V846" i="4"/>
  <c r="V845" i="4"/>
  <c r="V844" i="4"/>
  <c r="V843" i="4"/>
  <c r="V842" i="4"/>
  <c r="V841" i="4"/>
  <c r="T846" i="4"/>
  <c r="T845" i="4"/>
  <c r="T844" i="4"/>
  <c r="T843" i="4"/>
  <c r="T842" i="4"/>
  <c r="T841" i="4"/>
  <c r="G846" i="4"/>
  <c r="G845" i="4"/>
  <c r="G844" i="4"/>
  <c r="G843" i="4"/>
  <c r="G842" i="4"/>
  <c r="G841" i="4"/>
  <c r="G840" i="4"/>
  <c r="F846" i="4"/>
  <c r="F845" i="4"/>
  <c r="F844" i="4"/>
  <c r="F843" i="4"/>
  <c r="F842" i="4"/>
  <c r="F841" i="4"/>
  <c r="AE840" i="4"/>
  <c r="AE829" i="4"/>
  <c r="AE828" i="4"/>
  <c r="V840" i="4"/>
  <c r="V838" i="4"/>
  <c r="T840" i="4"/>
  <c r="T839" i="4"/>
  <c r="T837" i="4"/>
  <c r="G839" i="4"/>
  <c r="G838" i="4"/>
  <c r="G837" i="4"/>
  <c r="F840" i="4"/>
  <c r="F839" i="4"/>
  <c r="F838" i="4"/>
  <c r="F837" i="4"/>
  <c r="F828" i="4"/>
  <c r="F833" i="4"/>
  <c r="AV828" i="4"/>
  <c r="AV817" i="4"/>
  <c r="AV816" i="4"/>
  <c r="AV815" i="4"/>
  <c r="AV814" i="4"/>
  <c r="AV800" i="4"/>
  <c r="AV799" i="4"/>
  <c r="AV798" i="4"/>
  <c r="AV797" i="4"/>
  <c r="AV789" i="4"/>
  <c r="AV788" i="4"/>
  <c r="AV787" i="4"/>
  <c r="AV786" i="4"/>
  <c r="AV785" i="4"/>
  <c r="AV784" i="4"/>
  <c r="AV783" i="4"/>
  <c r="AV782" i="4"/>
  <c r="AV781" i="4"/>
  <c r="AV780" i="4"/>
  <c r="AV779" i="4"/>
  <c r="AV778" i="4"/>
  <c r="AV766" i="4"/>
  <c r="AV765" i="4"/>
  <c r="AV764" i="4"/>
  <c r="AV763" i="4"/>
  <c r="AV695" i="4"/>
  <c r="AV694" i="4"/>
  <c r="AV693" i="4"/>
  <c r="AV692" i="4"/>
  <c r="AV688" i="4"/>
  <c r="AV687" i="4"/>
  <c r="AV686" i="4"/>
  <c r="AV685" i="4"/>
  <c r="AV684" i="4"/>
  <c r="AV677" i="4"/>
  <c r="AV676" i="4"/>
  <c r="AV663" i="4"/>
  <c r="AV662" i="4"/>
  <c r="AV661" i="4"/>
  <c r="AV643" i="4"/>
  <c r="AV600" i="4"/>
  <c r="AV599" i="4"/>
  <c r="AV598" i="4"/>
  <c r="AV597" i="4"/>
  <c r="AV596" i="4"/>
  <c r="AV595" i="4"/>
  <c r="AV594" i="4"/>
  <c r="AV593" i="4"/>
  <c r="AV592" i="4"/>
  <c r="AV591" i="4"/>
  <c r="AV590" i="4"/>
  <c r="AV589" i="4"/>
  <c r="AV588" i="4"/>
  <c r="AV587" i="4"/>
  <c r="AV586" i="4"/>
  <c r="AV585" i="4"/>
  <c r="AV560" i="4"/>
  <c r="AV559" i="4"/>
  <c r="AV558" i="4"/>
  <c r="AV555" i="4"/>
  <c r="AV554" i="4"/>
  <c r="AV553" i="4"/>
  <c r="AV552" i="4"/>
  <c r="AV518" i="4"/>
  <c r="AV517" i="4"/>
  <c r="AV516" i="4"/>
  <c r="AV515" i="4"/>
  <c r="AV514" i="4"/>
  <c r="AV513" i="4"/>
  <c r="AV512" i="4"/>
  <c r="AV511" i="4"/>
  <c r="AV506" i="4"/>
  <c r="AV505" i="4"/>
  <c r="AV504" i="4"/>
  <c r="AV503" i="4"/>
  <c r="AV502" i="4"/>
  <c r="AV494" i="4"/>
  <c r="AV493" i="4"/>
  <c r="AV492" i="4"/>
  <c r="AV458" i="4"/>
  <c r="AV457" i="4"/>
  <c r="AV456" i="4"/>
  <c r="AV455" i="4"/>
  <c r="AV454" i="4"/>
  <c r="AV453" i="4"/>
  <c r="AV452" i="4"/>
  <c r="AV451" i="4"/>
  <c r="AV450" i="4"/>
  <c r="AV434" i="4"/>
  <c r="AV433" i="4"/>
  <c r="AV432" i="4"/>
  <c r="AV431" i="4"/>
  <c r="AV430" i="4"/>
  <c r="AV429" i="4"/>
  <c r="AV425" i="4"/>
  <c r="AV424" i="4"/>
  <c r="AV423" i="4"/>
  <c r="AV422" i="4"/>
  <c r="AV417" i="4"/>
  <c r="AV416" i="4"/>
  <c r="AV415" i="4"/>
  <c r="AV388" i="4"/>
  <c r="AV387" i="4"/>
  <c r="AV386" i="4"/>
  <c r="AV385" i="4"/>
  <c r="AV384" i="4"/>
  <c r="AV383" i="4"/>
  <c r="AV382" i="4"/>
  <c r="AV381" i="4"/>
  <c r="AV380" i="4"/>
  <c r="AV379" i="4"/>
  <c r="AV378" i="4"/>
  <c r="AV377" i="4"/>
  <c r="AV376" i="4"/>
  <c r="AV328" i="4"/>
  <c r="AV327" i="4"/>
  <c r="AV326" i="4"/>
  <c r="AV325" i="4"/>
  <c r="AV324" i="4"/>
  <c r="AV323" i="4"/>
  <c r="AV322" i="4"/>
  <c r="AV321" i="4"/>
  <c r="AV301" i="4"/>
  <c r="AV300" i="4"/>
  <c r="AV299" i="4"/>
  <c r="AV298" i="4"/>
  <c r="AV297" i="4"/>
  <c r="AV296" i="4"/>
  <c r="AV295" i="4"/>
  <c r="AV294" i="4"/>
  <c r="AV293" i="4"/>
  <c r="AV292" i="4"/>
  <c r="AV291" i="4"/>
  <c r="AV290" i="4"/>
  <c r="AV289" i="4"/>
  <c r="AV288" i="4"/>
  <c r="AV287" i="4"/>
  <c r="AV286" i="4"/>
  <c r="AV267" i="4"/>
  <c r="AV266" i="4"/>
  <c r="AV265" i="4"/>
  <c r="AV264" i="4"/>
  <c r="AV263" i="4"/>
  <c r="AV262" i="4"/>
  <c r="AV261" i="4"/>
  <c r="AV260" i="4"/>
  <c r="AV259" i="4"/>
  <c r="AV258" i="4"/>
  <c r="AV257" i="4"/>
  <c r="AV256" i="4"/>
  <c r="AV255" i="4"/>
  <c r="AV254" i="4"/>
  <c r="AV253" i="4"/>
  <c r="AV252" i="4"/>
  <c r="AV251" i="4"/>
  <c r="AV250" i="4"/>
  <c r="AV248" i="4"/>
  <c r="AV247" i="4"/>
  <c r="AV246" i="4"/>
  <c r="AV245" i="4"/>
  <c r="AV244" i="4"/>
  <c r="AV237" i="4"/>
  <c r="AV236" i="4"/>
  <c r="AV235" i="4"/>
  <c r="AV234" i="4"/>
  <c r="AV233" i="4"/>
  <c r="AV232" i="4"/>
  <c r="AV203" i="4"/>
  <c r="AV202" i="4"/>
  <c r="AV201" i="4"/>
  <c r="AV200" i="4"/>
  <c r="AV199" i="4"/>
  <c r="AV198" i="4"/>
  <c r="AV197" i="4"/>
  <c r="AV196" i="4"/>
  <c r="AV195" i="4"/>
  <c r="AV194" i="4"/>
  <c r="AV174" i="4"/>
  <c r="AV173" i="4"/>
  <c r="AV172" i="4"/>
  <c r="AV171" i="4"/>
  <c r="AV170" i="4"/>
  <c r="AV169" i="4"/>
  <c r="AV168" i="4"/>
  <c r="AV167" i="4"/>
  <c r="AV154" i="4"/>
  <c r="AV153" i="4"/>
  <c r="AV152" i="4"/>
  <c r="AV138" i="4"/>
  <c r="AV137" i="4"/>
  <c r="AV121" i="4"/>
  <c r="AV120" i="4"/>
  <c r="AV119" i="4"/>
  <c r="AV118" i="4"/>
  <c r="AV117" i="4"/>
  <c r="AV116" i="4"/>
  <c r="AV115" i="4"/>
  <c r="AV114" i="4"/>
  <c r="AV113" i="4"/>
  <c r="AV112" i="4"/>
  <c r="AV111" i="4"/>
  <c r="AV72" i="4"/>
  <c r="AV71" i="4"/>
  <c r="AV63" i="4"/>
  <c r="AV62" i="4"/>
  <c r="AV61" i="4"/>
  <c r="AV60" i="4"/>
  <c r="AV59" i="4"/>
  <c r="AV58" i="4"/>
  <c r="AV57" i="4"/>
  <c r="AV53" i="4"/>
  <c r="AV51" i="4"/>
  <c r="AV50" i="4"/>
  <c r="AV49" i="4"/>
  <c r="AV38" i="4"/>
  <c r="AV37" i="4"/>
  <c r="AV36" i="4"/>
  <c r="AV35" i="4"/>
  <c r="AV34" i="4"/>
  <c r="AV33" i="4"/>
  <c r="AV32" i="4"/>
  <c r="AV31" i="4"/>
  <c r="AV30" i="4"/>
  <c r="AV29" i="4"/>
  <c r="T836" i="4"/>
  <c r="G836" i="4"/>
  <c r="F836" i="4"/>
  <c r="T835" i="4"/>
  <c r="G835" i="4"/>
  <c r="F835" i="4"/>
  <c r="J834" i="4"/>
  <c r="J833" i="4"/>
  <c r="J832" i="4"/>
  <c r="J830" i="4"/>
  <c r="F830" i="4"/>
  <c r="F831" i="4"/>
  <c r="F832" i="4"/>
  <c r="F834" i="4"/>
  <c r="T834" i="4"/>
  <c r="G834" i="4"/>
  <c r="G832" i="4"/>
  <c r="T832" i="4"/>
  <c r="G833" i="4"/>
  <c r="T833" i="4"/>
  <c r="T831" i="4"/>
  <c r="J831" i="4"/>
  <c r="G831" i="4"/>
  <c r="T830" i="4"/>
  <c r="G830" i="4"/>
  <c r="AE827" i="4"/>
  <c r="AE826" i="4"/>
  <c r="AE821" i="4"/>
  <c r="AE820" i="4"/>
  <c r="AE819" i="4"/>
  <c r="AE818" i="4"/>
  <c r="G829" i="4"/>
  <c r="G827" i="4"/>
  <c r="G828" i="4"/>
  <c r="G826" i="4"/>
  <c r="P829" i="4"/>
  <c r="P828" i="4"/>
  <c r="P827" i="4"/>
  <c r="P826" i="4"/>
  <c r="F829" i="4"/>
  <c r="F827" i="4"/>
  <c r="F826" i="4"/>
  <c r="V829" i="4"/>
  <c r="T829" i="4"/>
  <c r="V828" i="4"/>
  <c r="T828" i="4"/>
  <c r="V827" i="4"/>
  <c r="T827" i="4"/>
  <c r="V826" i="4"/>
  <c r="T826" i="4"/>
  <c r="V825" i="4"/>
  <c r="T825" i="4"/>
  <c r="P825" i="4"/>
  <c r="G825" i="4"/>
  <c r="F825" i="4"/>
  <c r="V824" i="4"/>
  <c r="T824" i="4"/>
  <c r="P824" i="4"/>
  <c r="G824" i="4"/>
  <c r="F824" i="4"/>
  <c r="V823" i="4"/>
  <c r="T823" i="4"/>
  <c r="P823" i="4"/>
  <c r="G823" i="4"/>
  <c r="F823" i="4"/>
  <c r="V822" i="4"/>
  <c r="T822" i="4"/>
  <c r="P822" i="4"/>
  <c r="G822" i="4"/>
  <c r="F822" i="4"/>
  <c r="F821" i="4"/>
  <c r="F820" i="4"/>
  <c r="F819" i="4"/>
  <c r="F818" i="4"/>
  <c r="P821" i="4"/>
  <c r="P820" i="4"/>
  <c r="P819" i="4"/>
  <c r="V821" i="4"/>
  <c r="T821" i="4"/>
  <c r="G821" i="4"/>
  <c r="V820" i="4"/>
  <c r="T820" i="4"/>
  <c r="G820" i="4"/>
  <c r="V819" i="4"/>
  <c r="T819" i="4"/>
  <c r="G819" i="4"/>
  <c r="P818" i="4"/>
  <c r="V818" i="4"/>
  <c r="G818" i="4"/>
  <c r="T818" i="4"/>
  <c r="T817" i="4"/>
  <c r="J817" i="4"/>
  <c r="G817" i="4"/>
  <c r="F817" i="4"/>
  <c r="T816" i="4"/>
  <c r="J816" i="4"/>
  <c r="G816" i="4"/>
  <c r="F816" i="4"/>
  <c r="T815" i="4"/>
  <c r="J815" i="4"/>
  <c r="G815" i="4"/>
  <c r="F815" i="4"/>
  <c r="T814" i="4"/>
  <c r="J814" i="4"/>
  <c r="G814" i="4"/>
  <c r="F814" i="4"/>
  <c r="T813" i="4"/>
  <c r="T812" i="4"/>
  <c r="V813" i="4"/>
  <c r="V812" i="4"/>
  <c r="V811" i="4"/>
  <c r="T811" i="4"/>
  <c r="F812" i="4"/>
  <c r="G812" i="4"/>
  <c r="F813" i="4"/>
  <c r="G813" i="4"/>
  <c r="G811" i="4"/>
  <c r="F811" i="4"/>
  <c r="V810" i="4"/>
  <c r="T810" i="4"/>
  <c r="G810" i="4"/>
  <c r="F810" i="4"/>
  <c r="V809" i="4"/>
  <c r="T809" i="4"/>
  <c r="G809" i="4"/>
  <c r="F809" i="4"/>
  <c r="V808" i="4"/>
  <c r="T808" i="4"/>
  <c r="G808" i="4"/>
  <c r="F808" i="4"/>
  <c r="V807" i="4"/>
  <c r="T807" i="4"/>
  <c r="G807" i="4"/>
  <c r="F807" i="4"/>
  <c r="V806" i="4"/>
  <c r="T806" i="4"/>
  <c r="G806" i="4"/>
  <c r="F806" i="4"/>
  <c r="P801" i="4"/>
  <c r="V805" i="4"/>
  <c r="T805" i="4"/>
  <c r="G805" i="4"/>
  <c r="F805" i="4"/>
  <c r="AH804" i="4"/>
  <c r="AH803" i="4"/>
  <c r="T804" i="4"/>
  <c r="W804" i="4"/>
  <c r="G804" i="4"/>
  <c r="F804" i="4"/>
  <c r="G803" i="4"/>
  <c r="F803" i="4"/>
  <c r="T803" i="4"/>
  <c r="AE802" i="4"/>
  <c r="T802" i="4"/>
  <c r="P802" i="4"/>
  <c r="G802" i="4"/>
  <c r="F802" i="4"/>
  <c r="T801" i="4"/>
  <c r="G801" i="4"/>
  <c r="F801" i="4"/>
  <c r="AE797" i="4"/>
  <c r="V797" i="4"/>
  <c r="T797" i="4"/>
  <c r="P797" i="4"/>
  <c r="G797" i="4"/>
  <c r="F797" i="4"/>
  <c r="G796" i="4"/>
  <c r="F796" i="4"/>
  <c r="P796" i="4"/>
  <c r="V796" i="4"/>
  <c r="T796" i="4"/>
  <c r="T791" i="4"/>
  <c r="J791" i="4"/>
  <c r="G791" i="4"/>
  <c r="F791" i="4"/>
  <c r="J790" i="4"/>
  <c r="G790" i="4"/>
  <c r="F790" i="4"/>
  <c r="T790" i="4"/>
  <c r="AH791" i="4"/>
  <c r="AH790" i="4"/>
  <c r="AF789" i="4"/>
  <c r="T789" i="4"/>
  <c r="G789" i="4"/>
  <c r="F789" i="4"/>
  <c r="AF788" i="4"/>
  <c r="T788" i="4"/>
  <c r="G788" i="4"/>
  <c r="F788" i="4"/>
  <c r="AF787" i="4"/>
  <c r="T787" i="4"/>
  <c r="G787" i="4"/>
  <c r="F787" i="4"/>
  <c r="AF786" i="4"/>
  <c r="T786" i="4"/>
  <c r="G786" i="4"/>
  <c r="F786" i="4"/>
  <c r="AF785" i="4"/>
  <c r="T785" i="4"/>
  <c r="G785" i="4"/>
  <c r="F785" i="4"/>
  <c r="AF784" i="4"/>
  <c r="AF783" i="4"/>
  <c r="AF782" i="4"/>
  <c r="AF781" i="4"/>
  <c r="AF780" i="4"/>
  <c r="G781" i="4"/>
  <c r="G782" i="4"/>
  <c r="G783" i="4"/>
  <c r="G784" i="4"/>
  <c r="F784" i="4"/>
  <c r="F783" i="4"/>
  <c r="F782" i="4"/>
  <c r="F781" i="4"/>
  <c r="T784" i="4"/>
  <c r="T783" i="4"/>
  <c r="T782" i="4"/>
  <c r="T781" i="4"/>
  <c r="T780" i="4"/>
  <c r="G780" i="4"/>
  <c r="F780" i="4"/>
  <c r="AF766" i="4"/>
  <c r="AF764" i="4"/>
  <c r="AF765" i="4"/>
  <c r="AF763" i="4"/>
  <c r="T766" i="4"/>
  <c r="J766" i="4"/>
  <c r="G766" i="4"/>
  <c r="F766" i="4"/>
  <c r="T765" i="4"/>
  <c r="J765" i="4"/>
  <c r="G765" i="4"/>
  <c r="F765" i="4"/>
  <c r="T764" i="4"/>
  <c r="J764" i="4"/>
  <c r="G764" i="4"/>
  <c r="F764" i="4"/>
  <c r="T763" i="4"/>
  <c r="J763" i="4"/>
  <c r="G763" i="4"/>
  <c r="F763" i="4"/>
  <c r="AF760" i="4"/>
  <c r="AF759" i="4"/>
  <c r="AF758" i="4"/>
  <c r="H758" i="4"/>
  <c r="T758" i="4"/>
  <c r="F758" i="4"/>
  <c r="AE749" i="4"/>
  <c r="AE748" i="4"/>
  <c r="AF749" i="4"/>
  <c r="AF748" i="4"/>
  <c r="AF747" i="4"/>
  <c r="AE746" i="4"/>
  <c r="AE745" i="4"/>
  <c r="AE744" i="4"/>
  <c r="AF743" i="4"/>
  <c r="AF742" i="4"/>
  <c r="AF741" i="4"/>
  <c r="AF740" i="4"/>
  <c r="H749" i="4"/>
  <c r="F749" i="4"/>
  <c r="H748" i="4"/>
  <c r="F748" i="4"/>
  <c r="H747" i="4"/>
  <c r="F747" i="4"/>
  <c r="H746" i="4"/>
  <c r="F746" i="4"/>
  <c r="H745" i="4"/>
  <c r="F745" i="4"/>
  <c r="H744" i="4"/>
  <c r="F744" i="4"/>
  <c r="H743" i="4"/>
  <c r="H742" i="4"/>
  <c r="H741" i="4"/>
  <c r="H740" i="4"/>
  <c r="F743" i="4"/>
  <c r="AD743" i="4" s="1"/>
  <c r="F742" i="4"/>
  <c r="AD742" i="4" s="1"/>
  <c r="F741" i="4"/>
  <c r="AD741" i="4" s="1"/>
  <c r="F740" i="4"/>
  <c r="AD717" i="4"/>
  <c r="AD718" i="4"/>
  <c r="AD719" i="4"/>
  <c r="AE713" i="4"/>
  <c r="AE712" i="4"/>
  <c r="AE711" i="4"/>
  <c r="AD682" i="4"/>
  <c r="AF677" i="4"/>
  <c r="AF676" i="4"/>
  <c r="AF675" i="4"/>
  <c r="AF674" i="4"/>
  <c r="AD795" i="4"/>
  <c r="AD794" i="4"/>
  <c r="AD793" i="4"/>
  <c r="AD792" i="4"/>
  <c r="AD779" i="4"/>
  <c r="AD778" i="4"/>
  <c r="AD777" i="4"/>
  <c r="AD776" i="4"/>
  <c r="AD775" i="4"/>
  <c r="AD774" i="4"/>
  <c r="AD773" i="4"/>
  <c r="AD772" i="4"/>
  <c r="AD771" i="4"/>
  <c r="AD770" i="4"/>
  <c r="AD769" i="4"/>
  <c r="AD768" i="4"/>
  <c r="AD767" i="4"/>
  <c r="AD762" i="4"/>
  <c r="AD761" i="4"/>
  <c r="AD760" i="4"/>
  <c r="AD759" i="4"/>
  <c r="AD757" i="4"/>
  <c r="AD756" i="4"/>
  <c r="AD755" i="4"/>
  <c r="AD754" i="4"/>
  <c r="AD753" i="4"/>
  <c r="AD752" i="4"/>
  <c r="AD751" i="4"/>
  <c r="AD750" i="4"/>
  <c r="AD739" i="4"/>
  <c r="AD738" i="4"/>
  <c r="AD737" i="4"/>
  <c r="AD736" i="4"/>
  <c r="AD735" i="4"/>
  <c r="AD734" i="4"/>
  <c r="AD733" i="4"/>
  <c r="AD732" i="4"/>
  <c r="AD731" i="4"/>
  <c r="AD730" i="4"/>
  <c r="AD729" i="4"/>
  <c r="AD728" i="4"/>
  <c r="AD727" i="4"/>
  <c r="AD726" i="4"/>
  <c r="AD725" i="4"/>
  <c r="AD724" i="4"/>
  <c r="AD723" i="4"/>
  <c r="AD722" i="4"/>
  <c r="AD721" i="4"/>
  <c r="AD720" i="4"/>
  <c r="AD716" i="4"/>
  <c r="AD715" i="4"/>
  <c r="AD714" i="4"/>
  <c r="AD713" i="4"/>
  <c r="AD712" i="4"/>
  <c r="AD711" i="4"/>
  <c r="AD710" i="4"/>
  <c r="AD709" i="4"/>
  <c r="AD708" i="4"/>
  <c r="AD707" i="4"/>
  <c r="AD706" i="4"/>
  <c r="AD705" i="4"/>
  <c r="AD704" i="4"/>
  <c r="AD703" i="4"/>
  <c r="AD702" i="4"/>
  <c r="AD701" i="4"/>
  <c r="AD700" i="4"/>
  <c r="AD699" i="4"/>
  <c r="AD698" i="4"/>
  <c r="AD697" i="4"/>
  <c r="AD696" i="4"/>
  <c r="AD695" i="4"/>
  <c r="AD694" i="4"/>
  <c r="AD693" i="4"/>
  <c r="AD692" i="4"/>
  <c r="AD691" i="4"/>
  <c r="AD690" i="4"/>
  <c r="AD689" i="4"/>
  <c r="AD688" i="4"/>
  <c r="AD687" i="4"/>
  <c r="AD686" i="4"/>
  <c r="AD685" i="4"/>
  <c r="AD684" i="4"/>
  <c r="AD683" i="4"/>
  <c r="AD681" i="4"/>
  <c r="AD680" i="4"/>
  <c r="AD679" i="4"/>
  <c r="AD678" i="4"/>
  <c r="AD677" i="4"/>
  <c r="AG672" i="4"/>
  <c r="AG671" i="4"/>
  <c r="AG670" i="4"/>
  <c r="G672" i="4"/>
  <c r="F672" i="4"/>
  <c r="T672" i="4"/>
  <c r="T671" i="4"/>
  <c r="G671" i="4"/>
  <c r="F671" i="4"/>
  <c r="T670" i="4"/>
  <c r="G670" i="4"/>
  <c r="F670" i="4"/>
  <c r="AD659" i="4"/>
  <c r="W644" i="4"/>
  <c r="T644" i="4"/>
  <c r="AF644" i="4"/>
  <c r="AF643" i="4"/>
  <c r="AF642" i="4"/>
  <c r="AE641" i="4"/>
  <c r="AE640" i="4"/>
  <c r="AE639" i="4"/>
  <c r="AE638" i="4"/>
  <c r="AE637" i="4"/>
  <c r="AE636" i="4"/>
  <c r="T636" i="4"/>
  <c r="F636" i="4"/>
  <c r="G636" i="4"/>
  <c r="G572" i="4"/>
  <c r="F572" i="4"/>
  <c r="T572" i="4"/>
  <c r="J572" i="4"/>
  <c r="T573" i="4"/>
  <c r="J573" i="4"/>
  <c r="G573" i="4"/>
  <c r="F573" i="4"/>
  <c r="J571" i="4"/>
  <c r="G571" i="4"/>
  <c r="F571" i="4"/>
  <c r="T571" i="4"/>
  <c r="AF573" i="4"/>
  <c r="AF572" i="4"/>
  <c r="AF571" i="4"/>
  <c r="AE565" i="4"/>
  <c r="AE564" i="4"/>
  <c r="AE563" i="4"/>
  <c r="AE562" i="4"/>
  <c r="AE561" i="4"/>
  <c r="AE560" i="4"/>
  <c r="AF570" i="4"/>
  <c r="AF568" i="4"/>
  <c r="G563" i="4"/>
  <c r="F563" i="4"/>
  <c r="AG556" i="4"/>
  <c r="AF510" i="4"/>
  <c r="AF509" i="4"/>
  <c r="AF508" i="4"/>
  <c r="AH485" i="4"/>
  <c r="AH484" i="4"/>
  <c r="AH483" i="4"/>
  <c r="AH482" i="4"/>
  <c r="AH480" i="4"/>
  <c r="AH479" i="4"/>
  <c r="AH478" i="4"/>
  <c r="AH477" i="4"/>
  <c r="AH476" i="4"/>
  <c r="AE460" i="4"/>
  <c r="T460" i="4"/>
  <c r="G460" i="4"/>
  <c r="F460" i="4"/>
  <c r="T458" i="4"/>
  <c r="J458" i="4"/>
  <c r="G458" i="4"/>
  <c r="F458" i="4"/>
  <c r="AF458" i="4"/>
  <c r="AF457" i="4"/>
  <c r="J457" i="4"/>
  <c r="G457" i="4"/>
  <c r="F457" i="4"/>
  <c r="T457" i="4"/>
  <c r="AE470" i="4"/>
  <c r="AE469" i="4"/>
  <c r="AE468" i="4"/>
  <c r="AE467" i="4"/>
  <c r="AE466" i="4"/>
  <c r="AE465" i="4"/>
  <c r="AE464" i="4"/>
  <c r="AE463" i="4"/>
  <c r="AE462" i="4"/>
  <c r="AE461" i="4"/>
  <c r="T470" i="4"/>
  <c r="G470" i="4"/>
  <c r="F470" i="4"/>
  <c r="F463" i="4"/>
  <c r="G463" i="4"/>
  <c r="T463" i="4"/>
  <c r="F464" i="4"/>
  <c r="G464" i="4"/>
  <c r="T464" i="4"/>
  <c r="F465" i="4"/>
  <c r="G465" i="4"/>
  <c r="T465" i="4"/>
  <c r="F466" i="4"/>
  <c r="G466" i="4"/>
  <c r="T466" i="4"/>
  <c r="F467" i="4"/>
  <c r="G467" i="4"/>
  <c r="T467" i="4"/>
  <c r="F468" i="4"/>
  <c r="G468" i="4"/>
  <c r="T468" i="4"/>
  <c r="F469" i="4"/>
  <c r="G469" i="4"/>
  <c r="T469" i="4"/>
  <c r="T462" i="4"/>
  <c r="G462" i="4"/>
  <c r="F462" i="4"/>
  <c r="T461" i="4"/>
  <c r="F461" i="4"/>
  <c r="G461" i="4"/>
  <c r="J395" i="4"/>
  <c r="F395" i="4"/>
  <c r="G395" i="4"/>
  <c r="M403" i="4"/>
  <c r="M404" i="4"/>
  <c r="F404" i="4"/>
  <c r="F403" i="4"/>
  <c r="F402" i="4"/>
  <c r="G403" i="4"/>
  <c r="G404" i="4"/>
  <c r="G402" i="4"/>
  <c r="AD423" i="4"/>
  <c r="AF422" i="4"/>
  <c r="AF421" i="4"/>
  <c r="AE394" i="4"/>
  <c r="AE393" i="4"/>
  <c r="AH395" i="4"/>
  <c r="AD676" i="4"/>
  <c r="AD675" i="4"/>
  <c r="AD674" i="4"/>
  <c r="AD673" i="4"/>
  <c r="AD669" i="4"/>
  <c r="AD668" i="4"/>
  <c r="AD667" i="4"/>
  <c r="AD666" i="4"/>
  <c r="AD665" i="4"/>
  <c r="AD664" i="4"/>
  <c r="AD663" i="4"/>
  <c r="AD662" i="4"/>
  <c r="AD661" i="4"/>
  <c r="AD660" i="4"/>
  <c r="AD658" i="4"/>
  <c r="AD657" i="4"/>
  <c r="AD656" i="4"/>
  <c r="AD655" i="4"/>
  <c r="AD654" i="4"/>
  <c r="AD653" i="4"/>
  <c r="AD652" i="4"/>
  <c r="AD651" i="4"/>
  <c r="AD650" i="4"/>
  <c r="AD649" i="4"/>
  <c r="AD620" i="4"/>
  <c r="AD619" i="4"/>
  <c r="AD648" i="4"/>
  <c r="AD624" i="4"/>
  <c r="AD647" i="4"/>
  <c r="AD646" i="4"/>
  <c r="AD645" i="4"/>
  <c r="AD623" i="4"/>
  <c r="AD622" i="4"/>
  <c r="AD621" i="4"/>
  <c r="AD643" i="4"/>
  <c r="AD642" i="4"/>
  <c r="AD618" i="4"/>
  <c r="AD617" i="4"/>
  <c r="AD616" i="4"/>
  <c r="AD641" i="4"/>
  <c r="AD640" i="4"/>
  <c r="AD639" i="4"/>
  <c r="AD638" i="4"/>
  <c r="AD637" i="4"/>
  <c r="AD635" i="4"/>
  <c r="AD632" i="4"/>
  <c r="AD631" i="4"/>
  <c r="AD630" i="4"/>
  <c r="AD629" i="4"/>
  <c r="AD628" i="4"/>
  <c r="AD627" i="4"/>
  <c r="AD626" i="4"/>
  <c r="AD625" i="4"/>
  <c r="AD615" i="4"/>
  <c r="AD614" i="4"/>
  <c r="AD613" i="4"/>
  <c r="AD612" i="4"/>
  <c r="AD611" i="4"/>
  <c r="AD610" i="4"/>
  <c r="AD609" i="4"/>
  <c r="AD608" i="4"/>
  <c r="AD607" i="4"/>
  <c r="AD606" i="4"/>
  <c r="AD605" i="4"/>
  <c r="AD604" i="4"/>
  <c r="AD603" i="4"/>
  <c r="AD602" i="4"/>
  <c r="AD601" i="4"/>
  <c r="AD600" i="4"/>
  <c r="AD599" i="4"/>
  <c r="AD598" i="4"/>
  <c r="AD597" i="4"/>
  <c r="AD596" i="4"/>
  <c r="AD595" i="4"/>
  <c r="AD594" i="4"/>
  <c r="AD593" i="4"/>
  <c r="AD592" i="4"/>
  <c r="AD591" i="4"/>
  <c r="AD590" i="4"/>
  <c r="AD589" i="4"/>
  <c r="AD588" i="4"/>
  <c r="AD587" i="4"/>
  <c r="AD586" i="4"/>
  <c r="AD585" i="4"/>
  <c r="AD584" i="4"/>
  <c r="AD583" i="4"/>
  <c r="AD582" i="4"/>
  <c r="AD581" i="4"/>
  <c r="AD580" i="4"/>
  <c r="AD579" i="4"/>
  <c r="AD578" i="4"/>
  <c r="AD577" i="4"/>
  <c r="AD576" i="4"/>
  <c r="AD575" i="4"/>
  <c r="AD574" i="4"/>
  <c r="AD570" i="4"/>
  <c r="AD569" i="4"/>
  <c r="AD568" i="4"/>
  <c r="AD567" i="4"/>
  <c r="AD566" i="4"/>
  <c r="AD565" i="4"/>
  <c r="AD564" i="4"/>
  <c r="AD562" i="4"/>
  <c r="AD561" i="4"/>
  <c r="AD560" i="4"/>
  <c r="AD559" i="4"/>
  <c r="AD558" i="4"/>
  <c r="AD557" i="4"/>
  <c r="AD556" i="4"/>
  <c r="AD555" i="4"/>
  <c r="AD554" i="4"/>
  <c r="AD553" i="4"/>
  <c r="AD552" i="4"/>
  <c r="AD551" i="4"/>
  <c r="AD550" i="4"/>
  <c r="AD549" i="4"/>
  <c r="AD548" i="4"/>
  <c r="AD547" i="4"/>
  <c r="AD546" i="4"/>
  <c r="AD545" i="4"/>
  <c r="AD544" i="4"/>
  <c r="AD543" i="4"/>
  <c r="AD542" i="4"/>
  <c r="AD541" i="4"/>
  <c r="AD540" i="4"/>
  <c r="AD539" i="4"/>
  <c r="AD538" i="4"/>
  <c r="AD537" i="4"/>
  <c r="AD536" i="4"/>
  <c r="AD535" i="4"/>
  <c r="AD534" i="4"/>
  <c r="AD533" i="4"/>
  <c r="AD532" i="4"/>
  <c r="AD531" i="4"/>
  <c r="AD530" i="4"/>
  <c r="AD529" i="4"/>
  <c r="AD528" i="4"/>
  <c r="AD527" i="4"/>
  <c r="AD526" i="4"/>
  <c r="AD525" i="4"/>
  <c r="AD524" i="4"/>
  <c r="AD523" i="4"/>
  <c r="AD522" i="4"/>
  <c r="AD521" i="4"/>
  <c r="AD520" i="4"/>
  <c r="AD519" i="4"/>
  <c r="AD518" i="4"/>
  <c r="AD517" i="4"/>
  <c r="AD516" i="4"/>
  <c r="AD515" i="4"/>
  <c r="AD514" i="4"/>
  <c r="AD513" i="4"/>
  <c r="AD512" i="4"/>
  <c r="AD511" i="4"/>
  <c r="AD510" i="4"/>
  <c r="AD509" i="4"/>
  <c r="AD508" i="4"/>
  <c r="AD507" i="4"/>
  <c r="AD506" i="4"/>
  <c r="AD505" i="4"/>
  <c r="AD504" i="4"/>
  <c r="AD503" i="4"/>
  <c r="AD502" i="4"/>
  <c r="AD501" i="4"/>
  <c r="AD500" i="4"/>
  <c r="AD499" i="4"/>
  <c r="AD498" i="4"/>
  <c r="AD497" i="4"/>
  <c r="AD496" i="4"/>
  <c r="AD495" i="4"/>
  <c r="AD494" i="4"/>
  <c r="AD493" i="4"/>
  <c r="AD492" i="4"/>
  <c r="AD491" i="4"/>
  <c r="AD490" i="4"/>
  <c r="AD489" i="4"/>
  <c r="AD488" i="4"/>
  <c r="AD487" i="4"/>
  <c r="AD486" i="4"/>
  <c r="AD485" i="4"/>
  <c r="AD484" i="4"/>
  <c r="AD483" i="4"/>
  <c r="AD482" i="4"/>
  <c r="AD481" i="4"/>
  <c r="AD480" i="4"/>
  <c r="AD479" i="4"/>
  <c r="AD478" i="4"/>
  <c r="AD477" i="4"/>
  <c r="AD476" i="4"/>
  <c r="AD475" i="4"/>
  <c r="AD474" i="4"/>
  <c r="AD473" i="4"/>
  <c r="AD472" i="4"/>
  <c r="AD471" i="4"/>
  <c r="AD456" i="4"/>
  <c r="AD455" i="4"/>
  <c r="AD454" i="4"/>
  <c r="AD453" i="4"/>
  <c r="AD452" i="4"/>
  <c r="AD451" i="4"/>
  <c r="AD450" i="4"/>
  <c r="AD449" i="4"/>
  <c r="AD448" i="4"/>
  <c r="AD447" i="4"/>
  <c r="AD446" i="4"/>
  <c r="AD445" i="4"/>
  <c r="AD444" i="4"/>
  <c r="AD443" i="4"/>
  <c r="AD442" i="4"/>
  <c r="AD441" i="4"/>
  <c r="AD440" i="4"/>
  <c r="AD439" i="4"/>
  <c r="AD438" i="4"/>
  <c r="AD437" i="4"/>
  <c r="AD436" i="4"/>
  <c r="AD435" i="4"/>
  <c r="AD434" i="4"/>
  <c r="AD433" i="4"/>
  <c r="AD432" i="4"/>
  <c r="AD431" i="4"/>
  <c r="AD430" i="4"/>
  <c r="AD429" i="4"/>
  <c r="AD428" i="4"/>
  <c r="AD427" i="4"/>
  <c r="AD426" i="4"/>
  <c r="AD425" i="4"/>
  <c r="AD424" i="4"/>
  <c r="AD422" i="4"/>
  <c r="AD421" i="4"/>
  <c r="AD420" i="4"/>
  <c r="AD419" i="4"/>
  <c r="AD418" i="4"/>
  <c r="AD417" i="4"/>
  <c r="AD416" i="4"/>
  <c r="AD415" i="4"/>
  <c r="AD414" i="4"/>
  <c r="AD413" i="4"/>
  <c r="AD412" i="4"/>
  <c r="AD411" i="4"/>
  <c r="AD410" i="4"/>
  <c r="AD409" i="4"/>
  <c r="AD408" i="4"/>
  <c r="AD407" i="4"/>
  <c r="AD406" i="4"/>
  <c r="AD405" i="4"/>
  <c r="AD401" i="4"/>
  <c r="AD400" i="4"/>
  <c r="AD399" i="4"/>
  <c r="AD398" i="4"/>
  <c r="AD397" i="4"/>
  <c r="AD396" i="4"/>
  <c r="AD393" i="4"/>
  <c r="AD392" i="4"/>
  <c r="AD391" i="4"/>
  <c r="AD390" i="4"/>
  <c r="AD389" i="4"/>
  <c r="AD388" i="4"/>
  <c r="AD387" i="4"/>
  <c r="AD386" i="4"/>
  <c r="AD385" i="4"/>
  <c r="AD384" i="4"/>
  <c r="AD383" i="4"/>
  <c r="AD382" i="4"/>
  <c r="AD381" i="4"/>
  <c r="AD380" i="4"/>
  <c r="AD379" i="4"/>
  <c r="AD378" i="4"/>
  <c r="AD377" i="4"/>
  <c r="AD376" i="4"/>
  <c r="AD375" i="4"/>
  <c r="AD374" i="4"/>
  <c r="AD373" i="4"/>
  <c r="AD372" i="4"/>
  <c r="AD371" i="4"/>
  <c r="AD370" i="4"/>
  <c r="AD369" i="4"/>
  <c r="AD368" i="4"/>
  <c r="AD367" i="4"/>
  <c r="AH366" i="4"/>
  <c r="AH365" i="4"/>
  <c r="AH364" i="4"/>
  <c r="AH363" i="4"/>
  <c r="AH362" i="4"/>
  <c r="T362" i="4"/>
  <c r="G362" i="4"/>
  <c r="F362" i="4"/>
  <c r="AD366" i="4"/>
  <c r="AD365" i="4"/>
  <c r="AD364" i="4"/>
  <c r="AD363" i="4"/>
  <c r="AD361" i="4"/>
  <c r="AD360" i="4"/>
  <c r="AD359" i="4"/>
  <c r="AD358" i="4"/>
  <c r="AF354" i="4"/>
  <c r="AF352" i="4"/>
  <c r="AF351" i="4"/>
  <c r="AF347" i="4"/>
  <c r="AF345" i="4"/>
  <c r="AF344" i="4"/>
  <c r="AF343" i="4"/>
  <c r="AE341" i="4"/>
  <c r="AE340" i="4"/>
  <c r="AE355" i="4"/>
  <c r="AF355" i="4"/>
  <c r="AE335" i="4"/>
  <c r="AE334" i="4"/>
  <c r="AE333" i="4"/>
  <c r="AE332" i="4"/>
  <c r="AE331" i="4"/>
  <c r="AE330" i="4"/>
  <c r="AE317" i="4"/>
  <c r="AE316" i="4"/>
  <c r="AE315" i="4"/>
  <c r="AE305" i="4"/>
  <c r="AE304" i="4"/>
  <c r="AF305" i="4"/>
  <c r="AF304" i="4"/>
  <c r="AF303" i="4"/>
  <c r="AD302" i="4"/>
  <c r="AD209" i="4"/>
  <c r="AD210" i="4"/>
  <c r="AD211" i="4"/>
  <c r="AD212" i="4"/>
  <c r="AD213" i="4"/>
  <c r="AD214" i="4"/>
  <c r="AD215" i="4"/>
  <c r="G282" i="4"/>
  <c r="F282" i="4"/>
  <c r="W282" i="4"/>
  <c r="T282" i="4"/>
  <c r="AE275" i="4"/>
  <c r="G275" i="4"/>
  <c r="F275" i="4"/>
  <c r="AF246" i="4"/>
  <c r="AF245" i="4"/>
  <c r="AF248" i="4"/>
  <c r="AF247" i="4"/>
  <c r="AD248" i="4"/>
  <c r="AD247" i="4"/>
  <c r="AD246" i="4"/>
  <c r="AD245" i="4"/>
  <c r="AE269" i="4"/>
  <c r="G239" i="4"/>
  <c r="F239" i="4"/>
  <c r="W239" i="4"/>
  <c r="T239" i="4"/>
  <c r="AF239" i="4"/>
  <c r="AD231" i="4"/>
  <c r="AE161" i="4"/>
  <c r="G167" i="4"/>
  <c r="F167" i="4"/>
  <c r="AF167" i="4"/>
  <c r="J151" i="4"/>
  <c r="T151" i="4"/>
  <c r="G151" i="4"/>
  <c r="F151" i="4"/>
  <c r="AE203" i="4"/>
  <c r="AE202" i="4"/>
  <c r="AE201" i="4"/>
  <c r="AE200" i="4"/>
  <c r="AE199" i="4"/>
  <c r="T203" i="4"/>
  <c r="T202" i="4"/>
  <c r="T201" i="4"/>
  <c r="T200" i="4"/>
  <c r="T199" i="4"/>
  <c r="G203" i="4"/>
  <c r="F203" i="4"/>
  <c r="G202" i="4"/>
  <c r="F202" i="4"/>
  <c r="G201" i="4"/>
  <c r="F201" i="4"/>
  <c r="G200" i="4"/>
  <c r="F200" i="4"/>
  <c r="G199" i="4"/>
  <c r="F199" i="4"/>
  <c r="AE185" i="4"/>
  <c r="AE180" i="4"/>
  <c r="AE181" i="4"/>
  <c r="AE182" i="4"/>
  <c r="AE183" i="4"/>
  <c r="AE184" i="4"/>
  <c r="AE179" i="4"/>
  <c r="AE178" i="4"/>
  <c r="G178" i="4"/>
  <c r="F178" i="4"/>
  <c r="P185" i="4"/>
  <c r="P184" i="4"/>
  <c r="P183" i="4"/>
  <c r="P182" i="4"/>
  <c r="P181" i="4"/>
  <c r="P180" i="4"/>
  <c r="P179" i="4"/>
  <c r="P178" i="4"/>
  <c r="G185" i="4"/>
  <c r="G184" i="4"/>
  <c r="G183" i="4"/>
  <c r="G182" i="4"/>
  <c r="G181" i="4"/>
  <c r="G180" i="4"/>
  <c r="G179" i="4"/>
  <c r="F185" i="4"/>
  <c r="F184" i="4"/>
  <c r="F183" i="4"/>
  <c r="F182" i="4"/>
  <c r="F181" i="4"/>
  <c r="F180" i="4"/>
  <c r="F179" i="4"/>
  <c r="AD357" i="4"/>
  <c r="AD356" i="4"/>
  <c r="AD355" i="4"/>
  <c r="AD354" i="4"/>
  <c r="AD353" i="4"/>
  <c r="AD352" i="4"/>
  <c r="AD351" i="4"/>
  <c r="AD350" i="4"/>
  <c r="AD349" i="4"/>
  <c r="AD348" i="4"/>
  <c r="AD347" i="4"/>
  <c r="AD346" i="4"/>
  <c r="AD345" i="4"/>
  <c r="AD344" i="4"/>
  <c r="AD343" i="4"/>
  <c r="AD342" i="4"/>
  <c r="AD341" i="4"/>
  <c r="AD340" i="4"/>
  <c r="AD339" i="4"/>
  <c r="AD338" i="4"/>
  <c r="AD337" i="4"/>
  <c r="AD336" i="4"/>
  <c r="AD335" i="4"/>
  <c r="AD334" i="4"/>
  <c r="AD333" i="4"/>
  <c r="AD332" i="4"/>
  <c r="AD331" i="4"/>
  <c r="AD330" i="4"/>
  <c r="AD329" i="4"/>
  <c r="AD328" i="4"/>
  <c r="AD327" i="4"/>
  <c r="AD326" i="4"/>
  <c r="AD325" i="4"/>
  <c r="AD324" i="4"/>
  <c r="AD323" i="4"/>
  <c r="AD322" i="4"/>
  <c r="AD321" i="4"/>
  <c r="AD320" i="4"/>
  <c r="AD319" i="4"/>
  <c r="AD318" i="4"/>
  <c r="AD317" i="4"/>
  <c r="AD316" i="4"/>
  <c r="AD315" i="4"/>
  <c r="AD314" i="4"/>
  <c r="AD313" i="4"/>
  <c r="AD312" i="4"/>
  <c r="AD311" i="4"/>
  <c r="AD310" i="4"/>
  <c r="AD309" i="4"/>
  <c r="AD308" i="4"/>
  <c r="AD307" i="4"/>
  <c r="AD306" i="4"/>
  <c r="AD305" i="4"/>
  <c r="AD304" i="4"/>
  <c r="AD303" i="4"/>
  <c r="AD301" i="4"/>
  <c r="AD300" i="4"/>
  <c r="AD299" i="4"/>
  <c r="AD298" i="4"/>
  <c r="AD297" i="4"/>
  <c r="AD296" i="4"/>
  <c r="AD295" i="4"/>
  <c r="AD294" i="4"/>
  <c r="AD293" i="4"/>
  <c r="AD292" i="4"/>
  <c r="AD291" i="4"/>
  <c r="AD290" i="4"/>
  <c r="AD289" i="4"/>
  <c r="AD288" i="4"/>
  <c r="AD287" i="4"/>
  <c r="AD286" i="4"/>
  <c r="AD285" i="4"/>
  <c r="AD284" i="4"/>
  <c r="AD283" i="4"/>
  <c r="AD281" i="4"/>
  <c r="AD280" i="4"/>
  <c r="AD279" i="4"/>
  <c r="AD278" i="4"/>
  <c r="AD277" i="4"/>
  <c r="AD276" i="4"/>
  <c r="AD274" i="4"/>
  <c r="AD273" i="4"/>
  <c r="AD272" i="4"/>
  <c r="AD271" i="4"/>
  <c r="AD270" i="4"/>
  <c r="AD269" i="4"/>
  <c r="AD268" i="4"/>
  <c r="AD267" i="4"/>
  <c r="AD266" i="4"/>
  <c r="AD265" i="4"/>
  <c r="AD264" i="4"/>
  <c r="AD263" i="4"/>
  <c r="AD262" i="4"/>
  <c r="AD261" i="4"/>
  <c r="AD260" i="4"/>
  <c r="AD259" i="4"/>
  <c r="AD258" i="4"/>
  <c r="AD257" i="4"/>
  <c r="AD256" i="4"/>
  <c r="AD255" i="4"/>
  <c r="AD254" i="4"/>
  <c r="AD253" i="4"/>
  <c r="AD252" i="4"/>
  <c r="AD251" i="4"/>
  <c r="AD250" i="4"/>
  <c r="AD249" i="4"/>
  <c r="AD244" i="4"/>
  <c r="AD243" i="4"/>
  <c r="AD242" i="4"/>
  <c r="AD241" i="4"/>
  <c r="AD240" i="4"/>
  <c r="AD238" i="4"/>
  <c r="AD237" i="4"/>
  <c r="AD236" i="4"/>
  <c r="AD235" i="4"/>
  <c r="AD234" i="4"/>
  <c r="AD233" i="4"/>
  <c r="AD232" i="4"/>
  <c r="AD230" i="4"/>
  <c r="AD229" i="4"/>
  <c r="AD228" i="4"/>
  <c r="AD227" i="4"/>
  <c r="AD226" i="4"/>
  <c r="AD225" i="4"/>
  <c r="AD224" i="4"/>
  <c r="AD223" i="4"/>
  <c r="AD222" i="4"/>
  <c r="AD221" i="4"/>
  <c r="AD220" i="4"/>
  <c r="AD219" i="4"/>
  <c r="AD218" i="4"/>
  <c r="AD217" i="4"/>
  <c r="AD216" i="4"/>
  <c r="AD208" i="4"/>
  <c r="AD207" i="4"/>
  <c r="AD206" i="4"/>
  <c r="AD205" i="4"/>
  <c r="AD204" i="4"/>
  <c r="AD198" i="4"/>
  <c r="AD197" i="4"/>
  <c r="AD196" i="4"/>
  <c r="AD195" i="4"/>
  <c r="AD194" i="4"/>
  <c r="AD193" i="4"/>
  <c r="AD192" i="4"/>
  <c r="AD191" i="4"/>
  <c r="AD190" i="4"/>
  <c r="AD189" i="4"/>
  <c r="AD188" i="4"/>
  <c r="AD187" i="4"/>
  <c r="AD186" i="4"/>
  <c r="AD176" i="4"/>
  <c r="AD175" i="4"/>
  <c r="AD174" i="4"/>
  <c r="AD173" i="4"/>
  <c r="AD172" i="4"/>
  <c r="AD171" i="4"/>
  <c r="AD170" i="4"/>
  <c r="AD169" i="4"/>
  <c r="AD166" i="4"/>
  <c r="AD165" i="4"/>
  <c r="AD164" i="4"/>
  <c r="AD163" i="4"/>
  <c r="AD162" i="4"/>
  <c r="AE159" i="4"/>
  <c r="AE158" i="4"/>
  <c r="AE149" i="4"/>
  <c r="AE148" i="4"/>
  <c r="AE147" i="4"/>
  <c r="AE146" i="4"/>
  <c r="AE143" i="4"/>
  <c r="AE132" i="4"/>
  <c r="P129" i="4"/>
  <c r="P128" i="4"/>
  <c r="P127" i="4"/>
  <c r="P126" i="4"/>
  <c r="P125" i="4"/>
  <c r="G126" i="4"/>
  <c r="G127" i="4"/>
  <c r="G128" i="4"/>
  <c r="G129" i="4"/>
  <c r="G125" i="4"/>
  <c r="J130" i="4"/>
  <c r="G130" i="4"/>
  <c r="T130" i="4"/>
  <c r="F130" i="4"/>
  <c r="F129" i="4"/>
  <c r="F128" i="4"/>
  <c r="F127" i="4"/>
  <c r="F126" i="4"/>
  <c r="F125" i="4"/>
  <c r="AE126" i="4"/>
  <c r="AE127" i="4"/>
  <c r="AE128" i="4"/>
  <c r="AE129" i="4"/>
  <c r="AE125" i="4"/>
  <c r="F94" i="4"/>
  <c r="AD94" i="4" s="1"/>
  <c r="F92" i="4"/>
  <c r="AD92" i="4" s="1"/>
  <c r="J91" i="4"/>
  <c r="AD91" i="4" s="1"/>
  <c r="F93" i="4"/>
  <c r="H93" i="4"/>
  <c r="AF93" i="4"/>
  <c r="F84" i="4"/>
  <c r="AD84" i="4" s="1"/>
  <c r="F73" i="4"/>
  <c r="AD73" i="4" s="1"/>
  <c r="AE72" i="4"/>
  <c r="AE62" i="4"/>
  <c r="AE63" i="4"/>
  <c r="AE61" i="4"/>
  <c r="F48" i="4"/>
  <c r="F47" i="4"/>
  <c r="F46" i="4"/>
  <c r="F45" i="4"/>
  <c r="F44" i="4"/>
  <c r="F43" i="4"/>
  <c r="P48" i="4"/>
  <c r="P47" i="4"/>
  <c r="P46" i="4"/>
  <c r="P45" i="4"/>
  <c r="P44" i="4"/>
  <c r="P43" i="4"/>
  <c r="P42" i="4"/>
  <c r="P41" i="4"/>
  <c r="P40" i="4"/>
  <c r="P39" i="4"/>
  <c r="G48" i="4"/>
  <c r="G47" i="4"/>
  <c r="G45" i="4"/>
  <c r="G46" i="4"/>
  <c r="G44" i="4"/>
  <c r="G40" i="4"/>
  <c r="G41" i="4"/>
  <c r="G42" i="4"/>
  <c r="G43" i="4"/>
  <c r="G39" i="4"/>
  <c r="F42" i="4"/>
  <c r="F41" i="4"/>
  <c r="F40" i="4"/>
  <c r="F39" i="4"/>
  <c r="F28" i="4"/>
  <c r="AE48" i="4"/>
  <c r="AE47" i="4"/>
  <c r="AE46" i="4"/>
  <c r="AE45" i="4"/>
  <c r="AE44" i="4"/>
  <c r="AE43" i="4"/>
  <c r="AE42" i="4"/>
  <c r="AE41" i="4"/>
  <c r="AE40" i="4"/>
  <c r="AE39" i="4"/>
  <c r="F29" i="4"/>
  <c r="AD29" i="4" s="1"/>
  <c r="J28" i="4"/>
  <c r="J27" i="4"/>
  <c r="J26" i="4"/>
  <c r="F27" i="4"/>
  <c r="F26" i="4"/>
  <c r="G28" i="4"/>
  <c r="G27" i="4"/>
  <c r="G26" i="4"/>
  <c r="G23" i="4"/>
  <c r="G24" i="4"/>
  <c r="G25" i="4"/>
  <c r="G22" i="4"/>
  <c r="G21" i="4"/>
  <c r="F25" i="4"/>
  <c r="F24" i="4"/>
  <c r="F23" i="4"/>
  <c r="F22" i="4"/>
  <c r="J25" i="4"/>
  <c r="J24" i="4"/>
  <c r="J23" i="4"/>
  <c r="J22" i="4"/>
  <c r="F21" i="4"/>
  <c r="F20" i="4"/>
  <c r="F19" i="4"/>
  <c r="F18" i="4"/>
  <c r="F17" i="4"/>
  <c r="G20" i="4"/>
  <c r="G17" i="4"/>
  <c r="G18" i="4"/>
  <c r="G19" i="4"/>
  <c r="G16" i="4"/>
  <c r="F16" i="4"/>
  <c r="P20" i="4"/>
  <c r="P19" i="4"/>
  <c r="P18" i="4"/>
  <c r="P17" i="4"/>
  <c r="P16" i="4"/>
  <c r="AE20" i="4"/>
  <c r="AE19" i="4"/>
  <c r="AE18" i="4"/>
  <c r="AE17" i="4"/>
  <c r="AE16" i="4"/>
  <c r="AE15" i="4"/>
  <c r="AE14" i="4"/>
  <c r="AE13" i="4"/>
  <c r="F14" i="4"/>
  <c r="F15" i="4"/>
  <c r="F13" i="4"/>
  <c r="G14" i="4"/>
  <c r="G15" i="4"/>
  <c r="G13" i="4"/>
  <c r="T13" i="4"/>
  <c r="AE12" i="4"/>
  <c r="AE11" i="4"/>
  <c r="G12" i="4"/>
  <c r="F12" i="4"/>
  <c r="G11" i="4"/>
  <c r="F11" i="4"/>
  <c r="AE10" i="4"/>
  <c r="AE9" i="4"/>
  <c r="AE8" i="4"/>
  <c r="F9" i="4"/>
  <c r="G9" i="4"/>
  <c r="F10" i="4"/>
  <c r="G10" i="4"/>
  <c r="G8" i="4"/>
  <c r="F8" i="4"/>
  <c r="G7" i="4"/>
  <c r="G6" i="4"/>
  <c r="G5" i="4"/>
  <c r="F7" i="4"/>
  <c r="F6" i="4"/>
  <c r="F5" i="4"/>
  <c r="G4" i="4"/>
  <c r="F4" i="4"/>
  <c r="F2" i="4"/>
  <c r="AD2" i="4" s="1"/>
  <c r="T3" i="4"/>
  <c r="G3" i="4"/>
  <c r="F3" i="4"/>
  <c r="AD30" i="4"/>
  <c r="AD31" i="4"/>
  <c r="AD32" i="4"/>
  <c r="AD33" i="4"/>
  <c r="AD34" i="4"/>
  <c r="AD35" i="4"/>
  <c r="AD36" i="4"/>
  <c r="AD37" i="4"/>
  <c r="AD3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4" i="4"/>
  <c r="AD75" i="4"/>
  <c r="AD76" i="4"/>
  <c r="AD77" i="4"/>
  <c r="AD78" i="4"/>
  <c r="AD79" i="4"/>
  <c r="AD80" i="4"/>
  <c r="AD81" i="4"/>
  <c r="AD82" i="4"/>
  <c r="AD83" i="4"/>
  <c r="AD85" i="4"/>
  <c r="AD86" i="4"/>
  <c r="AD87" i="4"/>
  <c r="AD88" i="4"/>
  <c r="AD89" i="4"/>
  <c r="AD90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2" i="4"/>
  <c r="AD153" i="4"/>
  <c r="AD154" i="4"/>
  <c r="AD155" i="4"/>
  <c r="AD156" i="4"/>
  <c r="AD157" i="4"/>
  <c r="AD158" i="4"/>
  <c r="AD159" i="4"/>
  <c r="AD160" i="4"/>
  <c r="AD161" i="4"/>
  <c r="AD459" i="4" l="1"/>
  <c r="AD167" i="4"/>
  <c r="AD934" i="4"/>
  <c r="AD10" i="4"/>
  <c r="AD857" i="4"/>
  <c r="AD858" i="4"/>
  <c r="AD905" i="4"/>
  <c r="AD859" i="4"/>
  <c r="AD740" i="4"/>
  <c r="AD935" i="4"/>
  <c r="AD860" i="4"/>
  <c r="AD884" i="4"/>
  <c r="AD913" i="4"/>
  <c r="AD885" i="4"/>
  <c r="AD914" i="4"/>
  <c r="AD886" i="4"/>
  <c r="AD1089" i="4"/>
  <c r="AD948" i="4"/>
  <c r="AD644" i="4"/>
  <c r="AD784" i="4"/>
  <c r="AD180" i="4"/>
  <c r="AD952" i="4"/>
  <c r="AD876" i="4"/>
  <c r="AD874" i="4"/>
  <c r="AD877" i="4"/>
  <c r="AD889" i="4"/>
  <c r="AD924" i="4"/>
  <c r="AD7" i="4"/>
  <c r="AD12" i="4"/>
  <c r="AD402" i="4"/>
  <c r="AD746" i="4"/>
  <c r="AD748" i="4"/>
  <c r="AD813" i="4"/>
  <c r="AD829" i="4"/>
  <c r="AD954" i="4"/>
  <c r="AD183" i="4"/>
  <c r="AD467" i="4"/>
  <c r="AD758" i="4"/>
  <c r="AD801" i="4"/>
  <c r="AD803" i="4"/>
  <c r="AD821" i="4"/>
  <c r="AD834" i="4"/>
  <c r="AD833" i="4"/>
  <c r="AD839" i="4"/>
  <c r="AD846" i="4"/>
  <c r="AD852" i="4"/>
  <c r="AD984" i="4"/>
  <c r="AD403" i="4"/>
  <c r="AD466" i="4"/>
  <c r="AD1113" i="4"/>
  <c r="AD563" i="4"/>
  <c r="AD670" i="4"/>
  <c r="AD749" i="4"/>
  <c r="AD780" i="4"/>
  <c r="AD782" i="4"/>
  <c r="AD783" i="4"/>
  <c r="AD785" i="4"/>
  <c r="AD786" i="4"/>
  <c r="AD787" i="4"/>
  <c r="AD788" i="4"/>
  <c r="AD789" i="4"/>
  <c r="AD805" i="4"/>
  <c r="AD816" i="4"/>
  <c r="AD823" i="4"/>
  <c r="AD851" i="4"/>
  <c r="AD867" i="4"/>
  <c r="AD872" i="4"/>
  <c r="AD879" i="4"/>
  <c r="AD878" i="4"/>
  <c r="AD892" i="4"/>
  <c r="AD901" i="4"/>
  <c r="AD932" i="4"/>
  <c r="AD937" i="4"/>
  <c r="AD947" i="4"/>
  <c r="AD1030" i="4"/>
  <c r="AD1036" i="4"/>
  <c r="AD1041" i="4"/>
  <c r="AD960" i="4"/>
  <c r="AD967" i="4"/>
  <c r="AD972" i="4"/>
  <c r="AD1045" i="4"/>
  <c r="AD1048" i="4"/>
  <c r="AD1093" i="4"/>
  <c r="AD23" i="4"/>
  <c r="AD179" i="4"/>
  <c r="AD125" i="4"/>
  <c r="AD129" i="4"/>
  <c r="AD127" i="4"/>
  <c r="AD4" i="4"/>
  <c r="AD9" i="4"/>
  <c r="AD11" i="4"/>
  <c r="AD24" i="4"/>
  <c r="AD126" i="4"/>
  <c r="AD200" i="4"/>
  <c r="AD362" i="4"/>
  <c r="AD1027" i="4"/>
  <c r="AD1031" i="4"/>
  <c r="AD1033" i="4"/>
  <c r="AD1109" i="4"/>
  <c r="AD1105" i="4"/>
  <c r="AD28" i="4"/>
  <c r="AD863" i="4"/>
  <c r="AD865" i="4"/>
  <c r="AD1076" i="4"/>
  <c r="AD404" i="4"/>
  <c r="AD469" i="4"/>
  <c r="AD468" i="4"/>
  <c r="AD464" i="4"/>
  <c r="AD457" i="4"/>
  <c r="AD460" i="4"/>
  <c r="AD572" i="4"/>
  <c r="AD671" i="4"/>
  <c r="AD672" i="4"/>
  <c r="AD745" i="4"/>
  <c r="AD747" i="4"/>
  <c r="AD763" i="4"/>
  <c r="AD764" i="4"/>
  <c r="AD766" i="4"/>
  <c r="AD781" i="4"/>
  <c r="AD790" i="4"/>
  <c r="AD791" i="4"/>
  <c r="AD796" i="4"/>
  <c r="AD797" i="4"/>
  <c r="AD798" i="4"/>
  <c r="AD799" i="4"/>
  <c r="AD800" i="4"/>
  <c r="AD802" i="4"/>
  <c r="AD804" i="4"/>
  <c r="AD806" i="4"/>
  <c r="AD807" i="4"/>
  <c r="AD808" i="4"/>
  <c r="AD809" i="4"/>
  <c r="AD810" i="4"/>
  <c r="AD811" i="4"/>
  <c r="AD814" i="4"/>
  <c r="AD815" i="4"/>
  <c r="AD817" i="4"/>
  <c r="AD819" i="4"/>
  <c r="AD820" i="4"/>
  <c r="AD822" i="4"/>
  <c r="AD824" i="4"/>
  <c r="AD825" i="4"/>
  <c r="AD826" i="4"/>
  <c r="AD827" i="4"/>
  <c r="AD831" i="4"/>
  <c r="AD832" i="4"/>
  <c r="AD830" i="4"/>
  <c r="AD835" i="4"/>
  <c r="AD836" i="4"/>
  <c r="AD838" i="4"/>
  <c r="AD842" i="4"/>
  <c r="AD848" i="4"/>
  <c r="AD850" i="4"/>
  <c r="AD856" i="4"/>
  <c r="AD864" i="4"/>
  <c r="AD862" i="4"/>
  <c r="AD870" i="4"/>
  <c r="AD868" i="4"/>
  <c r="AD871" i="4"/>
  <c r="AD875" i="4"/>
  <c r="AD882" i="4"/>
  <c r="AD881" i="4"/>
  <c r="AD890" i="4"/>
  <c r="AD891" i="4"/>
  <c r="AD893" i="4"/>
  <c r="AD894" i="4"/>
  <c r="AD896" i="4"/>
  <c r="AD900" i="4"/>
  <c r="AD917" i="4"/>
  <c r="AD919" i="4"/>
  <c r="AD1097" i="4"/>
  <c r="AD1104" i="4"/>
  <c r="AD1106" i="4"/>
  <c r="AD1107" i="4"/>
  <c r="AD812" i="4"/>
  <c r="AD462" i="4"/>
  <c r="AD840" i="4"/>
  <c r="AD837" i="4"/>
  <c r="AD844" i="4"/>
  <c r="AD841" i="4"/>
  <c r="AD845" i="4"/>
  <c r="AD843" i="4"/>
  <c r="AD847" i="4"/>
  <c r="AD849" i="4"/>
  <c r="AD854" i="4"/>
  <c r="AD855" i="4"/>
  <c r="AD853" i="4"/>
  <c r="AD861" i="4"/>
  <c r="AD955" i="4"/>
  <c r="AD956" i="4"/>
  <c r="AD965" i="4"/>
  <c r="AD973" i="4"/>
  <c r="AD976" i="4"/>
  <c r="AD977" i="4"/>
  <c r="AD1044" i="4"/>
  <c r="AD1046" i="4"/>
  <c r="AD1052" i="4"/>
  <c r="AD1050" i="4"/>
  <c r="AD1054" i="4"/>
  <c r="AD1094" i="4"/>
  <c r="AD1095" i="4"/>
  <c r="AD3" i="4"/>
  <c r="AD25" i="4"/>
  <c r="AD40" i="4"/>
  <c r="AD203" i="4"/>
  <c r="AD922" i="4"/>
  <c r="AD918" i="4"/>
  <c r="AD921" i="4"/>
  <c r="AD927" i="4"/>
  <c r="AD931" i="4"/>
  <c r="AD938" i="4"/>
  <c r="AD944" i="4"/>
  <c r="AD942" i="4"/>
  <c r="AD946" i="4"/>
  <c r="AD978" i="4"/>
  <c r="AD979" i="4"/>
  <c r="AD986" i="4"/>
  <c r="AD982" i="4"/>
  <c r="AD992" i="4"/>
  <c r="AD991" i="4"/>
  <c r="AD993" i="4"/>
  <c r="AD994" i="4"/>
  <c r="AD999" i="4"/>
  <c r="AD1004" i="4"/>
  <c r="AD1009" i="4"/>
  <c r="AD1011" i="4"/>
  <c r="AD1013" i="4"/>
  <c r="AD1014" i="4"/>
  <c r="AD1020" i="4"/>
  <c r="AD1024" i="4"/>
  <c r="AD1032" i="4"/>
  <c r="AD1034" i="4"/>
  <c r="AD1039" i="4"/>
  <c r="AD1043" i="4"/>
  <c r="AD1058" i="4"/>
  <c r="AD1091" i="4"/>
  <c r="AD1092" i="4"/>
  <c r="AD6" i="4"/>
  <c r="AD16" i="4"/>
  <c r="AD20" i="4"/>
  <c r="AD26" i="4"/>
  <c r="AD41" i="4"/>
  <c r="AD39" i="4"/>
  <c r="AD47" i="4"/>
  <c r="AD45" i="4"/>
  <c r="AD93" i="4"/>
  <c r="AD128" i="4"/>
  <c r="AD130" i="4"/>
  <c r="AD184" i="4"/>
  <c r="AD275" i="4"/>
  <c r="AD282" i="4"/>
  <c r="AD869" i="4"/>
  <c r="AD873" i="4"/>
  <c r="AD880" i="4"/>
  <c r="AD883" i="4"/>
  <c r="AD888" i="4"/>
  <c r="AD895" i="4"/>
  <c r="AD897" i="4"/>
  <c r="AD899" i="4"/>
  <c r="AD902" i="4"/>
  <c r="AD907" i="4"/>
  <c r="AD936" i="4"/>
  <c r="AD939" i="4"/>
  <c r="AD943" i="4"/>
  <c r="AD945" i="4"/>
  <c r="AD1055" i="4"/>
  <c r="AD1053" i="4"/>
  <c r="AD1057" i="4"/>
  <c r="AD1064" i="4"/>
  <c r="AD1065" i="4"/>
  <c r="AD1067" i="4"/>
  <c r="AD1071" i="4"/>
  <c r="AD1073" i="4"/>
  <c r="AD1074" i="4"/>
  <c r="AD1075" i="4"/>
  <c r="AD1082" i="4"/>
  <c r="AD1081" i="4"/>
  <c r="AD1084" i="4"/>
  <c r="AD1108" i="4"/>
  <c r="AD44" i="4"/>
  <c r="AD1112" i="4"/>
  <c r="AD5" i="4"/>
  <c r="AD18" i="4"/>
  <c r="AD22" i="4"/>
  <c r="AD21" i="4"/>
  <c r="AD828" i="4"/>
  <c r="AD13" i="4"/>
  <c r="AD17" i="4"/>
  <c r="AD19" i="4"/>
  <c r="AD27" i="4"/>
  <c r="AD42" i="4"/>
  <c r="AD48" i="4"/>
  <c r="AD395" i="4"/>
  <c r="AD909" i="4"/>
  <c r="AD1056" i="4"/>
  <c r="AD14" i="4"/>
  <c r="AD46" i="4"/>
  <c r="AD818" i="4"/>
  <c r="AD201" i="4"/>
  <c r="AD904" i="4"/>
  <c r="AD920" i="4"/>
  <c r="AD923" i="4"/>
  <c r="AD925" i="4"/>
  <c r="AD928" i="4"/>
  <c r="AD926" i="4"/>
  <c r="AD929" i="4"/>
  <c r="AD930" i="4"/>
  <c r="AD933" i="4"/>
  <c r="AD940" i="4"/>
  <c r="AD941" i="4"/>
  <c r="AD980" i="4"/>
  <c r="AD981" i="4"/>
  <c r="AD983" i="4"/>
  <c r="AD985" i="4"/>
  <c r="AD987" i="4"/>
  <c r="AD988" i="4"/>
  <c r="AD989" i="4"/>
  <c r="AD990" i="4"/>
  <c r="AD995" i="4"/>
  <c r="AD996" i="4"/>
  <c r="AD997" i="4"/>
  <c r="AD998" i="4"/>
  <c r="AD1000" i="4"/>
  <c r="AD1005" i="4"/>
  <c r="AD1006" i="4"/>
  <c r="AD1007" i="4"/>
  <c r="AD1008" i="4"/>
  <c r="AD1010" i="4"/>
  <c r="AD1012" i="4"/>
  <c r="AD1015" i="4"/>
  <c r="AD1016" i="4"/>
  <c r="AD1017" i="4"/>
  <c r="AD1018" i="4"/>
  <c r="AD1019" i="4"/>
  <c r="AD1021" i="4"/>
  <c r="AD1022" i="4"/>
  <c r="AD1023" i="4"/>
  <c r="AD1025" i="4"/>
  <c r="AD1026" i="4"/>
  <c r="AD1028" i="4"/>
  <c r="AD1029" i="4"/>
  <c r="AD1035" i="4"/>
  <c r="AD1037" i="4"/>
  <c r="AD950" i="4"/>
  <c r="AD974" i="4"/>
  <c r="AD975" i="4"/>
  <c r="AD1083" i="4"/>
  <c r="AD1086" i="4"/>
  <c r="AD1098" i="4"/>
  <c r="AD1100" i="4"/>
  <c r="AD1102" i="4"/>
  <c r="AD1110" i="4"/>
  <c r="AD185" i="4"/>
  <c r="AD199" i="4"/>
  <c r="AD239" i="4"/>
  <c r="AD461" i="4"/>
  <c r="AD465" i="4"/>
  <c r="AD463" i="4"/>
  <c r="AD470" i="4"/>
  <c r="AD458" i="4"/>
  <c r="AD571" i="4"/>
  <c r="AD573" i="4"/>
  <c r="AD636" i="4"/>
  <c r="AD744" i="4"/>
  <c r="AD765" i="4"/>
  <c r="AD903" i="4"/>
  <c r="AD908" i="4"/>
  <c r="AD906" i="4"/>
  <c r="AD912" i="4"/>
  <c r="AD910" i="4"/>
  <c r="AD911" i="4"/>
  <c r="AD1040" i="4"/>
  <c r="AD953" i="4"/>
  <c r="AD951" i="4"/>
  <c r="AD957" i="4"/>
  <c r="AD959" i="4"/>
  <c r="AD958" i="4"/>
  <c r="AD961" i="4"/>
  <c r="AD962" i="4"/>
  <c r="AD963" i="4"/>
  <c r="AD964" i="4"/>
  <c r="AD966" i="4"/>
  <c r="AD968" i="4"/>
  <c r="AD969" i="4"/>
  <c r="AD970" i="4"/>
  <c r="AD971" i="4"/>
  <c r="AD1051" i="4"/>
  <c r="AD1047" i="4"/>
  <c r="AD1059" i="4"/>
  <c r="AD1060" i="4"/>
  <c r="AD1061" i="4"/>
  <c r="AD1062" i="4"/>
  <c r="AD1063" i="4"/>
  <c r="AD1066" i="4"/>
  <c r="AD1068" i="4"/>
  <c r="AD1069" i="4"/>
  <c r="AD1070" i="4"/>
  <c r="AD1072" i="4"/>
  <c r="AD1079" i="4"/>
  <c r="AD1078" i="4"/>
  <c r="AD1077" i="4"/>
  <c r="AD1085" i="4"/>
  <c r="AD1099" i="4"/>
  <c r="AD181" i="4"/>
  <c r="AD178" i="4"/>
  <c r="AD202" i="4"/>
  <c r="AD151" i="4"/>
  <c r="AD8" i="4"/>
  <c r="AD15" i="4"/>
  <c r="AD43" i="4"/>
  <c r="AD182" i="4"/>
  <c r="AD866" i="4"/>
  <c r="AD1038" i="4"/>
  <c r="AD1042" i="4"/>
  <c r="AD949" i="4"/>
  <c r="AD1049" i="4"/>
  <c r="AD1080" i="4"/>
  <c r="AD1087" i="4"/>
  <c r="AD1096" i="4"/>
  <c r="AD1101" i="4"/>
  <c r="AD1103" i="4"/>
</calcChain>
</file>

<file path=xl/sharedStrings.xml><?xml version="1.0" encoding="utf-8"?>
<sst xmlns="http://schemas.openxmlformats.org/spreadsheetml/2006/main" count="3845" uniqueCount="1962">
  <si>
    <t>LaFe11.4Si1.6</t>
  </si>
  <si>
    <t>LaFe10.4Si2.6</t>
  </si>
  <si>
    <t>La(Fe0.88Si0.12)13Hy</t>
  </si>
  <si>
    <t>La(Fe0.89Si0.11)13H1.3</t>
  </si>
  <si>
    <t>La(Fe0.9Si0.1)13H1.1</t>
  </si>
  <si>
    <t>La1.04Fe11.44Si1.56H1.63</t>
  </si>
  <si>
    <t>La1.04Fe11.44Si1.56H1.35</t>
  </si>
  <si>
    <t>La1.04Fe11.44Si1.56H1.17</t>
  </si>
  <si>
    <t>RCP</t>
  </si>
  <si>
    <t>LaFe13-xSix</t>
  </si>
  <si>
    <t>LaFe11.5Si1.5</t>
  </si>
  <si>
    <t>LaFe11.2Si1.8</t>
  </si>
  <si>
    <t>LaFe11.1Si1.9</t>
  </si>
  <si>
    <t>LaFe11Si2</t>
  </si>
  <si>
    <t>LaFe10.9Si2.1</t>
  </si>
  <si>
    <t>LaFe10.8Si2.2</t>
  </si>
  <si>
    <t>LaFe10.5Si2.5</t>
  </si>
  <si>
    <t>LaFe11.6Si1.4</t>
  </si>
  <si>
    <t>LaFe11.6Si1.4H1.6</t>
  </si>
  <si>
    <t>La(Fe0.92Co0.08)11.83Al1.17</t>
  </si>
  <si>
    <t>LaFe11Al2C0.5</t>
  </si>
  <si>
    <t>LaFe11.74Co0.13Si1.13</t>
  </si>
  <si>
    <t>LaFe11.4Co0.52Si1.09</t>
  </si>
  <si>
    <t>LaFe11.05Co0.91Si1.04</t>
  </si>
  <si>
    <t>LaFe10.71Co1.3Si</t>
  </si>
  <si>
    <t>LaFe11.6-xMnxSi1.4</t>
  </si>
  <si>
    <t>LaFe11.8Si1.2</t>
  </si>
  <si>
    <t>LaFe11.33Co0.47Si1.2</t>
  </si>
  <si>
    <t>La(Fe0.88Si0.12)13</t>
  </si>
  <si>
    <t>La(Fe0.88Si0.12)13H1</t>
  </si>
  <si>
    <t>La(Fe0.9Si0.1)13</t>
  </si>
  <si>
    <t>La(Fe0.9Si0.1)13Hy</t>
  </si>
  <si>
    <t>LaFe10.97Co1.03Si</t>
  </si>
  <si>
    <t>LaFe11.71Co0.193Si1.11</t>
  </si>
  <si>
    <t>La(Fe1-xCox)11.9Si1.1</t>
  </si>
  <si>
    <t>La0.8Nd0.2Fe11.5Si1.5</t>
  </si>
  <si>
    <t>La(0.89Si0.11)13Hy</t>
  </si>
  <si>
    <t>(mistake in fig. 8)</t>
  </si>
  <si>
    <t>LaFe11.7Si1.3C0.2</t>
  </si>
  <si>
    <t>LaFe11.7Si1.3C0.2H1.8</t>
  </si>
  <si>
    <t xml:space="preserve">Vacuumschmelze sintering </t>
  </si>
  <si>
    <t>LaFe11.35Mn0.39Si1.26H1.53</t>
  </si>
  <si>
    <t>LaFe11.38Mn0.36Si1.26H1.52</t>
  </si>
  <si>
    <t>LaFe11.40Mn0.34Si1.26H1.52</t>
  </si>
  <si>
    <t>LaFe11.42Mn0.32Si1.26H1.53</t>
  </si>
  <si>
    <t>LaFe11.25Co0.65Si1.1</t>
  </si>
  <si>
    <t>LaFe11.14Co0.76Si1.1</t>
  </si>
  <si>
    <t>LaFe11.05Co0.85Si1.1</t>
  </si>
  <si>
    <t>LaFe10.92Co0.98Si1.1</t>
  </si>
  <si>
    <t>LaFe10.77Co1.13Si1.1</t>
  </si>
  <si>
    <t>LaFe10.61Co1.29Si1.1</t>
  </si>
  <si>
    <t>LaFe10.45Co1.45Si1.1</t>
  </si>
  <si>
    <t xml:space="preserve">LaFe 11.6 Si 1.4 H y </t>
  </si>
  <si>
    <t>LaFe11.22Mn0.46Si1.32H1.65</t>
  </si>
  <si>
    <t>LaFe11.33Mn0.37Si1.30H1.65</t>
  </si>
  <si>
    <t>LaFe11.41Mn0.30Si1.29H1.65</t>
  </si>
  <si>
    <t>LaFe11.47Mn0.25Si1.28H1.65</t>
  </si>
  <si>
    <t>LaFe11.55Mn0.22Si1.23H1.65</t>
  </si>
  <si>
    <t>LaFe11.60Mn0.18Si1.22H1.65</t>
  </si>
  <si>
    <t>LaFe11.66Mn0.14Si1.20H1.65</t>
  </si>
  <si>
    <t>LaFe11.76Mn0.06Si1.18H1.65</t>
  </si>
  <si>
    <t>LaFe11.7Si1.3</t>
  </si>
  <si>
    <t>LaFe10.6Si2.4</t>
  </si>
  <si>
    <t>c, a parameters for t2 phase but FM/PM unknown, Fe-Fe length</t>
  </si>
  <si>
    <t>LaFe10.9Al2.1</t>
  </si>
  <si>
    <t>LaFe11.4Al1.6</t>
  </si>
  <si>
    <t>LaFe11.38Mn0.32Si1.30Hx</t>
  </si>
  <si>
    <t xml:space="preserve">mono </t>
  </si>
  <si>
    <t>bi</t>
  </si>
  <si>
    <t>LaFexSi1.4Hy</t>
  </si>
  <si>
    <t>La(Fe0.9Si0.1)Bx</t>
  </si>
  <si>
    <t>La(Fe0.89Si0.11)13</t>
  </si>
  <si>
    <t>La0.3Pr0.7(Fe0.86Si0.14)13</t>
  </si>
  <si>
    <t>La0.6Pr0.4Fe10.7Co0.8Si1.5</t>
  </si>
  <si>
    <t>La0.5Pr0.5Fe10.7Co0.8Si1.5C0.2</t>
  </si>
  <si>
    <t>La(Fe0.98Co0.02)11.7Al1.3</t>
  </si>
  <si>
    <t>La(Fe0.92Co0.08)11.9Si1.1</t>
  </si>
  <si>
    <t>LaFe11.2Co0.7Si1.1</t>
  </si>
  <si>
    <t>LaFe10.7Co0.8Si1.5</t>
  </si>
  <si>
    <t>LaFe11.6Si1.4Cx</t>
  </si>
  <si>
    <t>La1.7Fe11.6Si1.4H2.9</t>
  </si>
  <si>
    <t>LaFe10.98Co0.22Si1.8</t>
  </si>
  <si>
    <t>LaFe11.12Co0.71Al1.17</t>
  </si>
  <si>
    <t>LaFe11.5Si1.5H1.3</t>
  </si>
  <si>
    <t>La0.5Pr0.5Fe11.5Si1.5C0.3</t>
  </si>
  <si>
    <t>La0.7Nd0.3Fe10.7Co0.8Si1.5</t>
  </si>
  <si>
    <t>La0.5Pr0.5Fe10.7Co0.8Si1.5</t>
  </si>
  <si>
    <t>La0.5Pr0.5Fe10.5CoSi1.5</t>
  </si>
  <si>
    <t>LaFe11.5Si1.5Bx</t>
  </si>
  <si>
    <t>LaFe11Co0.8Si1.2</t>
  </si>
  <si>
    <t>LaFe12.1Co0.8Si1.2</t>
  </si>
  <si>
    <t>LaFe13.2Co0.8Si1.2</t>
  </si>
  <si>
    <t>LaFe14.3Co0.8Si1.2</t>
  </si>
  <si>
    <t>La(Fe0.99Z0.01)11.4Si1.6</t>
  </si>
  <si>
    <t>La0.7Pr0.3Fe11.5Si1.5</t>
  </si>
  <si>
    <t>La0.7Pr0.3Fe11.5Si1.5C0.2Hx</t>
  </si>
  <si>
    <t>LaFe11Co0.9Si1.1</t>
  </si>
  <si>
    <t>LaFe11.1Co0.8Si1.1</t>
  </si>
  <si>
    <t xml:space="preserve">La(Fe0.89Si0.11)13 </t>
  </si>
  <si>
    <t>La(Fe0.87Mn0.02Si0.11)13</t>
  </si>
  <si>
    <t>La0.7Ce0.3(Fe0.87Mn0.02Si0.11)13</t>
  </si>
  <si>
    <t>La0.65Ce0.35(Fe0.860Mn0.025Si0.115)13</t>
  </si>
  <si>
    <t>La0.65Ce0.35(Fe0.85Mn0.03Si0.12)13</t>
  </si>
  <si>
    <t>La0.75Ce0.25(Fe0.850Mn0.035Si0.115)13</t>
  </si>
  <si>
    <t>La0.7Pr0.3Fe11.2Si1.8</t>
  </si>
  <si>
    <t>La0.7Pr0.3Fe10.4Co0.8Si1.8</t>
  </si>
  <si>
    <t>LaFe11.5Ni0.1Si1.4</t>
  </si>
  <si>
    <t>LaFe11.4Ni0.2Si1.4</t>
  </si>
  <si>
    <t>LaFe11.3Ni0.3Si1.4</t>
  </si>
  <si>
    <t>LaFe11.2Ni0.4Si1.4</t>
  </si>
  <si>
    <t>LaFe11.5Si1.5Hy</t>
  </si>
  <si>
    <t>La(Fe0.86Si0.14)13</t>
  </si>
  <si>
    <t>La0.7Ce0.3(Fe0.86Si0.14)13</t>
  </si>
  <si>
    <t>LaFe11.6Si1.4Bx</t>
  </si>
  <si>
    <t>La0.95Gd0.05Fe11.4Si1.6</t>
  </si>
  <si>
    <t>La0.95Y0.05Fe11.4Si1.6</t>
  </si>
  <si>
    <t>La0.7Pr0.3Fe11.4Si1.6</t>
  </si>
  <si>
    <t>La0.7Pr0.3Fe11.34Cu0.06Si1.6</t>
  </si>
  <si>
    <t>La0.7Pr0.3Fe11.28Cu0.12Si1.6</t>
  </si>
  <si>
    <t>La0.7Pr0.3Fe11.17Cu0.23Si1.6</t>
  </si>
  <si>
    <t>La0.7Pr0.3Fe11.06Cu0.34Si1.6</t>
  </si>
  <si>
    <t>La0.9Ce0.1Fe11.7Si1.3H1.8</t>
  </si>
  <si>
    <t>La0.9Ce0.1Fe11.41Mn0.29Si1.3H1.8</t>
  </si>
  <si>
    <t>LaFe10.99Co0.91Si1.1B0.2</t>
  </si>
  <si>
    <t xml:space="preserve">Thys at 1T </t>
  </si>
  <si>
    <t>A1</t>
  </si>
  <si>
    <t>A1-1273</t>
  </si>
  <si>
    <t>NA2-873</t>
  </si>
  <si>
    <t>NA2-1273</t>
  </si>
  <si>
    <t>NA2-1473</t>
  </si>
  <si>
    <t>M3</t>
  </si>
  <si>
    <t>ribbon</t>
  </si>
  <si>
    <t>bulk</t>
  </si>
  <si>
    <t>La2Fe11Si2</t>
  </si>
  <si>
    <t>LaFe10.8Co0.7Si1.5C0.2</t>
  </si>
  <si>
    <t>LaFe11.6Si1.4Hy</t>
  </si>
  <si>
    <t>La0.8Ce0.2Fe11.4Si1.6Bx</t>
  </si>
  <si>
    <t>La(Fe0.919Co0.081)11.7Al1.3</t>
  </si>
  <si>
    <t>La0.8Pr0.2(Fe0.919Co0.081)11.7Al1.3</t>
  </si>
  <si>
    <t>La0.8Nd0.2(Fe0.919Co0.081)11.7Al1.3</t>
  </si>
  <si>
    <t>La0.7R0.3Fe11.5Si1.5</t>
  </si>
  <si>
    <t>LaFe10.0Si3.0Cx</t>
  </si>
  <si>
    <t>TEC</t>
  </si>
  <si>
    <t>LaFe11.83Si1.17</t>
  </si>
  <si>
    <t>La(Fe0.893Si0.107)13</t>
  </si>
  <si>
    <t>La(Fe0.887Si0.113)13</t>
  </si>
  <si>
    <t>La(Fe0.881Si0.119)13</t>
  </si>
  <si>
    <t>La(Fe0.865Co0.05Si0.085)13</t>
  </si>
  <si>
    <t>La(Fe0.857Co0.058Si0.085)13</t>
  </si>
  <si>
    <t>La(Fe0.85Co0.065Si0.085)13</t>
  </si>
  <si>
    <t>La(Fe0.84Co0.075Si0.085)13</t>
  </si>
  <si>
    <t>La(Fe0.828Co0.087Si0.085)13</t>
  </si>
  <si>
    <t>La(Fe0.816Co0.099Si0.085)13</t>
  </si>
  <si>
    <t>La(Fe0.803Co0.112Si0.085)13</t>
  </si>
  <si>
    <t>La(Fe0.915Si0.85)13</t>
  </si>
  <si>
    <t>LaFe10.95Co0.65Si1.4C0.15</t>
  </si>
  <si>
    <t>LaFe10.85Co0.65Si1.5C0.15</t>
  </si>
  <si>
    <t>LaFe10.95Co0.65Si1.4C0.2</t>
  </si>
  <si>
    <t>LaFe11.3Si1.7</t>
  </si>
  <si>
    <t>LaFe11.0Si2.0</t>
  </si>
  <si>
    <t>La0.7Nd0.3Fe11.5Si1.5</t>
  </si>
  <si>
    <t>LaFe11.5Si1.5H0.3</t>
  </si>
  <si>
    <t>LaFe11.5Si1.5H0.6</t>
  </si>
  <si>
    <t>LaFe11.5Si1.5H0.9</t>
  </si>
  <si>
    <t>LaFe11.5Si1.5H1.5</t>
  </si>
  <si>
    <t>LaFe11.5Si1.5H1.8</t>
  </si>
  <si>
    <t>La(Fe0.99Mn0.01)11.7Si1.3Hx</t>
  </si>
  <si>
    <t>La(Fe0.98Mn0.02)11.7Si1.3Hx</t>
  </si>
  <si>
    <t>La(Fe0.97Mn0.03)11.7Si1.3Hx</t>
  </si>
  <si>
    <t>LaFe11.5Si1.5C0.2</t>
  </si>
  <si>
    <t>LaFe11.5Si1.5C0.5</t>
  </si>
  <si>
    <t>La0.8Pr0.2Fe10.7Co0.8Si1.5</t>
  </si>
  <si>
    <t>La0.5Pr0.5Fe10.5Co1.0Si1.5</t>
  </si>
  <si>
    <t>LaFe11.5Si1.5N1.6</t>
  </si>
  <si>
    <t>LaFe11Si2N1.2</t>
  </si>
  <si>
    <t>LaFe10.6Si2.4N1.2</t>
  </si>
  <si>
    <t>La(Fe0.88Al0.12)13Cx</t>
  </si>
  <si>
    <t>La(Fe0.767Co0.17Si0.063)13</t>
  </si>
  <si>
    <t>La(Fe0.745Co0.17Si0.085)13</t>
  </si>
  <si>
    <t>La(Fe0.88Si0.12)13H1.5</t>
  </si>
  <si>
    <t>La0.7Ce0.3(Fe0.88Si0.12)13H1.7</t>
  </si>
  <si>
    <t>La0.5Pr0.5(Fe0.88Si0.12)13H1.6</t>
  </si>
  <si>
    <t>La1.7Fe11.6Al1.4</t>
  </si>
  <si>
    <t>La1.7Fe11.6Al1.3Si0.1</t>
  </si>
  <si>
    <t>La1.7Fe11.6AlSi0.4</t>
  </si>
  <si>
    <t>LaFe11.5Al1.5Cy</t>
  </si>
  <si>
    <t>LaFe11.5Al1.5Hx</t>
  </si>
  <si>
    <t>LaFe11.5Al1.5C0.2Hx</t>
  </si>
  <si>
    <t>La0.9Pr0.1Fe11.2Co0.7Si1.1</t>
  </si>
  <si>
    <t>La0.9Ho0.1Fe11.2Co0.7Si1.1</t>
  </si>
  <si>
    <t>LaFe11.3Co0.4Si1.3C0.15</t>
  </si>
  <si>
    <t>LaFe11.1Co0.8Si1.1B0.2</t>
  </si>
  <si>
    <t>LaFe11.1Co0.8Si1.1B0.25</t>
  </si>
  <si>
    <t>LaFex*11.6Si1.4</t>
  </si>
  <si>
    <t>LaFe12Si1</t>
  </si>
  <si>
    <t>La0.7Ce0.3Fe11.48Mn0.12Si1.4H1.8</t>
  </si>
  <si>
    <t>La0.7Ce0.3Fe11.48Mn0.12Si1.4</t>
  </si>
  <si>
    <t>LaFe11.7Si1.2Mn0.1</t>
  </si>
  <si>
    <t>LaFe11.74Mn0.06Si1.20</t>
  </si>
  <si>
    <t>LaFe11.5Si1.5B0.2</t>
  </si>
  <si>
    <t>La0.7Pr0.3Fe11.5Si1.5B0.2</t>
  </si>
  <si>
    <t>La0.8Ce0.2 Fe11.5Si1.5</t>
  </si>
  <si>
    <t>LaFe11.35Co0.6Si1.05</t>
  </si>
  <si>
    <t>LaFe13.92Si1.4</t>
  </si>
  <si>
    <t>LaFe11.44Al1.56</t>
  </si>
  <si>
    <t>Fe</t>
    <phoneticPr fontId="1" type="noConversion"/>
  </si>
  <si>
    <t>Si</t>
    <phoneticPr fontId="1" type="noConversion"/>
  </si>
  <si>
    <t>Al</t>
    <phoneticPr fontId="1" type="noConversion"/>
  </si>
  <si>
    <t>Ga</t>
    <phoneticPr fontId="1" type="noConversion"/>
  </si>
  <si>
    <t>Co</t>
    <phoneticPr fontId="1" type="noConversion"/>
  </si>
  <si>
    <t>V</t>
    <phoneticPr fontId="1" type="noConversion"/>
  </si>
  <si>
    <t>Cr</t>
    <phoneticPr fontId="1" type="noConversion"/>
  </si>
  <si>
    <t>Ni</t>
    <phoneticPr fontId="1" type="noConversion"/>
  </si>
  <si>
    <t>Cu</t>
    <phoneticPr fontId="1" type="noConversion"/>
  </si>
  <si>
    <t>Mn</t>
    <phoneticPr fontId="1" type="noConversion"/>
  </si>
  <si>
    <t>Ca</t>
    <phoneticPr fontId="1" type="noConversion"/>
  </si>
  <si>
    <t>Nd</t>
    <phoneticPr fontId="1" type="noConversion"/>
  </si>
  <si>
    <t>Ce</t>
    <phoneticPr fontId="1" type="noConversion"/>
  </si>
  <si>
    <t>Pr</t>
    <phoneticPr fontId="1" type="noConversion"/>
  </si>
  <si>
    <t>Dy</t>
    <phoneticPr fontId="1" type="noConversion"/>
  </si>
  <si>
    <t>Ho</t>
    <phoneticPr fontId="1" type="noConversion"/>
  </si>
  <si>
    <t>Gd</t>
    <phoneticPr fontId="1" type="noConversion"/>
  </si>
  <si>
    <t>Y</t>
    <phoneticPr fontId="1" type="noConversion"/>
  </si>
  <si>
    <t>Er</t>
    <phoneticPr fontId="1" type="noConversion"/>
  </si>
  <si>
    <t>C</t>
    <phoneticPr fontId="1" type="noConversion"/>
  </si>
  <si>
    <t>N</t>
    <phoneticPr fontId="1" type="noConversion"/>
  </si>
  <si>
    <t>B</t>
    <phoneticPr fontId="1" type="noConversion"/>
  </si>
  <si>
    <t>x = 0.87</t>
    <phoneticPr fontId="1" type="noConversion"/>
  </si>
  <si>
    <t>La(FexSi(1-x))13</t>
    <phoneticPr fontId="1" type="noConversion"/>
  </si>
  <si>
    <t>x = 0.88</t>
    <phoneticPr fontId="1" type="noConversion"/>
  </si>
  <si>
    <t>x = 0.89</t>
    <phoneticPr fontId="1" type="noConversion"/>
  </si>
  <si>
    <t>La(Fe0.88Si0.12)13Hy</t>
    <phoneticPr fontId="1" type="noConversion"/>
  </si>
  <si>
    <t>y = 0.5</t>
    <phoneticPr fontId="1" type="noConversion"/>
  </si>
  <si>
    <t>y = 1.5</t>
    <phoneticPr fontId="1" type="noConversion"/>
  </si>
  <si>
    <t>y = 0.322, z = 1.525</t>
    <phoneticPr fontId="1" type="noConversion"/>
  </si>
  <si>
    <t>y = 0.338, z = 1.524</t>
    <phoneticPr fontId="1" type="noConversion"/>
  </si>
  <si>
    <t>y = 0.356, z = 1.523</t>
    <phoneticPr fontId="1" type="noConversion"/>
  </si>
  <si>
    <t>y = 0.373, z = 1.539</t>
    <phoneticPr fontId="1" type="noConversion"/>
  </si>
  <si>
    <t>y = 0.390, z = 1.530</t>
    <phoneticPr fontId="1" type="noConversion"/>
  </si>
  <si>
    <t>y = 1.0</t>
    <phoneticPr fontId="1" type="noConversion"/>
  </si>
  <si>
    <t>x = 0.90</t>
    <phoneticPr fontId="1" type="noConversion"/>
  </si>
  <si>
    <t>x = 0.0</t>
    <phoneticPr fontId="1" type="noConversion"/>
  </si>
  <si>
    <t>x = 0.3</t>
    <phoneticPr fontId="1" type="noConversion"/>
  </si>
  <si>
    <t>x = 0.4</t>
    <phoneticPr fontId="1" type="noConversion"/>
  </si>
  <si>
    <t>x = 0.5</t>
    <phoneticPr fontId="1" type="noConversion"/>
  </si>
  <si>
    <t>x = 0.6</t>
    <phoneticPr fontId="1" type="noConversion"/>
  </si>
  <si>
    <t>LaFe(11.7-x)CoxSi1.3</t>
    <phoneticPr fontId="1" type="noConversion"/>
  </si>
  <si>
    <t>LaFe(11.2-x)Co(0.7+x)Si1.1</t>
    <phoneticPr fontId="1" type="noConversion"/>
  </si>
  <si>
    <t>x = 0.1</t>
    <phoneticPr fontId="1" type="noConversion"/>
  </si>
  <si>
    <t>x = 0.2</t>
    <phoneticPr fontId="1" type="noConversion"/>
  </si>
  <si>
    <t>x = 0.0, y = 1.97</t>
    <phoneticPr fontId="1" type="noConversion"/>
  </si>
  <si>
    <t>x = 0.1, y = 1.75</t>
    <phoneticPr fontId="1" type="noConversion"/>
  </si>
  <si>
    <t>x = 0.2, y = 1.88</t>
    <phoneticPr fontId="1" type="noConversion"/>
  </si>
  <si>
    <t>x = 0.4, y = 1.68</t>
    <phoneticPr fontId="1" type="noConversion"/>
  </si>
  <si>
    <t>x = 0.0, y = 1.90</t>
    <phoneticPr fontId="1" type="noConversion"/>
  </si>
  <si>
    <t>x = 0.1, y = 1.81</t>
    <phoneticPr fontId="1" type="noConversion"/>
  </si>
  <si>
    <t>x = 0.2, y = 1.87</t>
    <phoneticPr fontId="1" type="noConversion"/>
  </si>
  <si>
    <t>x = 0.3, y = 1.77</t>
    <phoneticPr fontId="1" type="noConversion"/>
  </si>
  <si>
    <t>x = 0.4, y = 1.78</t>
    <phoneticPr fontId="1" type="noConversion"/>
  </si>
  <si>
    <t>x = 0.3, y = 1.80</t>
    <phoneticPr fontId="1" type="noConversion"/>
  </si>
  <si>
    <t>LaFe(11.8-x)Si1.2Mnx</t>
    <phoneticPr fontId="1" type="noConversion"/>
  </si>
  <si>
    <t>LaFe(11.6-x)Si1.4Mnx</t>
    <phoneticPr fontId="1" type="noConversion"/>
  </si>
  <si>
    <t>LaFe(11.8-x)Si1.2MnxHy</t>
    <phoneticPr fontId="1" type="noConversion"/>
  </si>
  <si>
    <t>LaFe(11.6-x)Si1.4MnxHy</t>
    <phoneticPr fontId="1" type="noConversion"/>
  </si>
  <si>
    <t>LaFe(13-x)Six</t>
    <phoneticPr fontId="1" type="noConversion"/>
  </si>
  <si>
    <t>LaFe(11.8-x)CoxSi1.2</t>
    <phoneticPr fontId="1" type="noConversion"/>
  </si>
  <si>
    <t>LaFe11.57Si1.43Hx</t>
    <phoneticPr fontId="1" type="noConversion"/>
  </si>
  <si>
    <t>x = 0.8</t>
    <phoneticPr fontId="1" type="noConversion"/>
  </si>
  <si>
    <t>x = 1.8</t>
    <phoneticPr fontId="1" type="noConversion"/>
  </si>
  <si>
    <t>x = 1.6</t>
    <phoneticPr fontId="1" type="noConversion"/>
  </si>
  <si>
    <t>x = 1.4</t>
    <phoneticPr fontId="1" type="noConversion"/>
  </si>
  <si>
    <t>x = 1.2</t>
    <phoneticPr fontId="1" type="noConversion"/>
  </si>
  <si>
    <t>x = 1.0</t>
    <phoneticPr fontId="1" type="noConversion"/>
  </si>
  <si>
    <t>x = 2.3</t>
    <phoneticPr fontId="1" type="noConversion"/>
  </si>
  <si>
    <t>La(FexAl(1-x))13</t>
    <phoneticPr fontId="1" type="noConversion"/>
  </si>
  <si>
    <t>x = 0.46</t>
    <phoneticPr fontId="1" type="noConversion"/>
  </si>
  <si>
    <t>x = 0.54</t>
    <phoneticPr fontId="1" type="noConversion"/>
  </si>
  <si>
    <t>x = 0.58</t>
    <phoneticPr fontId="1" type="noConversion"/>
  </si>
  <si>
    <t>x = 0.62</t>
    <phoneticPr fontId="1" type="noConversion"/>
  </si>
  <si>
    <t>x = 0.65</t>
    <phoneticPr fontId="1" type="noConversion"/>
  </si>
  <si>
    <t>x = 0.7</t>
    <phoneticPr fontId="1" type="noConversion"/>
  </si>
  <si>
    <t>x = 0.73</t>
    <phoneticPr fontId="1" type="noConversion"/>
  </si>
  <si>
    <t>x = 0.77</t>
    <phoneticPr fontId="1" type="noConversion"/>
  </si>
  <si>
    <t>x = 0.80</t>
    <phoneticPr fontId="1" type="noConversion"/>
  </si>
  <si>
    <t>x = 0.83</t>
    <phoneticPr fontId="1" type="noConversion"/>
  </si>
  <si>
    <t>x = 0.84</t>
    <phoneticPr fontId="1" type="noConversion"/>
  </si>
  <si>
    <t>x = 0.86</t>
    <phoneticPr fontId="1" type="noConversion"/>
  </si>
  <si>
    <t>x = 0.91</t>
    <phoneticPr fontId="1" type="noConversion"/>
  </si>
  <si>
    <t>x = 0.92</t>
    <phoneticPr fontId="1" type="noConversion"/>
  </si>
  <si>
    <t>x = 0.70</t>
    <phoneticPr fontId="1" type="noConversion"/>
  </si>
  <si>
    <t>LaFe(11.5-x)CoxSi1.5</t>
    <phoneticPr fontId="1" type="noConversion"/>
  </si>
  <si>
    <t>x = 1.5</t>
    <phoneticPr fontId="1" type="noConversion"/>
  </si>
  <si>
    <t>x = 2.4</t>
    <phoneticPr fontId="1" type="noConversion"/>
  </si>
  <si>
    <t>LaFe(11.6-x)MnxSi1.4Hy</t>
    <phoneticPr fontId="1" type="noConversion"/>
  </si>
  <si>
    <t>x = 0.27</t>
    <phoneticPr fontId="1" type="noConversion"/>
  </si>
  <si>
    <t>x = 0.34</t>
    <phoneticPr fontId="1" type="noConversion"/>
  </si>
  <si>
    <t>x = 0.39</t>
    <phoneticPr fontId="1" type="noConversion"/>
  </si>
  <si>
    <t>x = 0.43</t>
    <phoneticPr fontId="1" type="noConversion"/>
  </si>
  <si>
    <t>LaFe11.37Mn0.37Si1.26H1.54</t>
    <phoneticPr fontId="1" type="noConversion"/>
  </si>
  <si>
    <t>z = 0.1</t>
    <phoneticPr fontId="1" type="noConversion"/>
  </si>
  <si>
    <t>z = 0.2</t>
    <phoneticPr fontId="1" type="noConversion"/>
  </si>
  <si>
    <t>z = 0.3</t>
    <phoneticPr fontId="1" type="noConversion"/>
  </si>
  <si>
    <t>z = 0.0</t>
    <phoneticPr fontId="1" type="noConversion"/>
  </si>
  <si>
    <t>La( Fe(1-x)Cox)11.83Al1.17</t>
    <phoneticPr fontId="1" type="noConversion"/>
  </si>
  <si>
    <t>y = 1.1</t>
    <phoneticPr fontId="1" type="noConversion"/>
  </si>
  <si>
    <t>x = 0.04</t>
    <phoneticPr fontId="1" type="noConversion"/>
  </si>
  <si>
    <t>La(1-z)Cez(Fe0.88Si0.12)13</t>
    <phoneticPr fontId="1" type="noConversion"/>
  </si>
  <si>
    <t>x = 0.06</t>
    <phoneticPr fontId="1" type="noConversion"/>
  </si>
  <si>
    <t>x = 0.08</t>
    <phoneticPr fontId="1" type="noConversion"/>
  </si>
  <si>
    <t>y = 0.0</t>
    <phoneticPr fontId="1" type="noConversion"/>
  </si>
  <si>
    <t>y = 1.6</t>
    <phoneticPr fontId="1" type="noConversion"/>
  </si>
  <si>
    <t>La(1-y)Ndy(Fe0.88Si0.12)13</t>
    <phoneticPr fontId="1" type="noConversion"/>
  </si>
  <si>
    <t>y = 0.1</t>
    <phoneticPr fontId="1" type="noConversion"/>
  </si>
  <si>
    <t>y = 0.3</t>
    <phoneticPr fontId="1" type="noConversion"/>
  </si>
  <si>
    <t>y = 0.4</t>
    <phoneticPr fontId="1" type="noConversion"/>
  </si>
  <si>
    <t>x = 0.108</t>
    <phoneticPr fontId="1" type="noConversion"/>
  </si>
  <si>
    <t>La(Fe(1-x)Six)13</t>
    <phoneticPr fontId="1" type="noConversion"/>
  </si>
  <si>
    <t>LaFe11.6Si1.4</t>
    <phoneticPr fontId="1" type="noConversion"/>
  </si>
  <si>
    <t>x = 1.7</t>
    <phoneticPr fontId="1" type="noConversion"/>
  </si>
  <si>
    <t>x = 2.0</t>
    <phoneticPr fontId="1" type="noConversion"/>
  </si>
  <si>
    <t>x = 2.5</t>
    <phoneticPr fontId="1" type="noConversion"/>
  </si>
  <si>
    <t>x = 3.5</t>
    <phoneticPr fontId="1" type="noConversion"/>
  </si>
  <si>
    <t>x = 5.0</t>
    <phoneticPr fontId="1" type="noConversion"/>
  </si>
  <si>
    <t>x = 2.2</t>
    <phoneticPr fontId="1" type="noConversion"/>
  </si>
  <si>
    <t>x = 11.6, y = 1.68</t>
    <phoneticPr fontId="1" type="noConversion"/>
  </si>
  <si>
    <t>x = 12.8, y = 1.72</t>
    <phoneticPr fontId="1" type="noConversion"/>
  </si>
  <si>
    <t>x = 15.1, y = 1.88</t>
    <phoneticPr fontId="1" type="noConversion"/>
  </si>
  <si>
    <t>x = 16.2, y = 1.95</t>
    <phoneticPr fontId="1" type="noConversion"/>
  </si>
  <si>
    <t>x = 11.6, y = 0.00</t>
    <phoneticPr fontId="1" type="noConversion"/>
  </si>
  <si>
    <t>x = 16.2, y = 0.00</t>
    <phoneticPr fontId="1" type="noConversion"/>
  </si>
  <si>
    <t>x = 15.1, y = 0.00</t>
    <phoneticPr fontId="1" type="noConversion"/>
  </si>
  <si>
    <t>x = 13.9, y = 0.00</t>
    <phoneticPr fontId="1" type="noConversion"/>
  </si>
  <si>
    <t>x = 12.8, y = 0.00</t>
    <phoneticPr fontId="1" type="noConversion"/>
  </si>
  <si>
    <t>x = 13.9, y = 1.80</t>
    <phoneticPr fontId="1" type="noConversion"/>
  </si>
  <si>
    <t>x = 0.00</t>
    <phoneticPr fontId="1" type="noConversion"/>
  </si>
  <si>
    <t>x = 0.03</t>
    <phoneticPr fontId="1" type="noConversion"/>
  </si>
  <si>
    <t>x = 0.50</t>
    <phoneticPr fontId="1" type="noConversion"/>
  </si>
  <si>
    <t>x = 0.30</t>
    <phoneticPr fontId="1" type="noConversion"/>
  </si>
  <si>
    <t>x = 0.20</t>
    <phoneticPr fontId="1" type="noConversion"/>
  </si>
  <si>
    <t>x = 0.10</t>
    <phoneticPr fontId="1" type="noConversion"/>
  </si>
  <si>
    <t>La(1-y)PryFe(13-x)Six</t>
    <phoneticPr fontId="1" type="noConversion"/>
  </si>
  <si>
    <t>La0.8Ce0.2Fe(11.7-z)CozSi1.3</t>
    <phoneticPr fontId="1" type="noConversion"/>
  </si>
  <si>
    <t>LaFe11.5Si1.5D0.7</t>
  </si>
  <si>
    <t>LaFe11.5Si1.5D1.49</t>
  </si>
  <si>
    <t>x = 1.3</t>
    <phoneticPr fontId="1" type="noConversion"/>
  </si>
  <si>
    <t>x = 1.8, y = 0.0</t>
    <phoneticPr fontId="1" type="noConversion"/>
  </si>
  <si>
    <t>x = 1.8, y = 0.3</t>
    <phoneticPr fontId="1" type="noConversion"/>
  </si>
  <si>
    <t>x = 1.5, y = 0.0</t>
    <phoneticPr fontId="1" type="noConversion"/>
  </si>
  <si>
    <t>x = 1.5, y = 0.5</t>
    <phoneticPr fontId="1" type="noConversion"/>
  </si>
  <si>
    <t>z = 0.4</t>
    <phoneticPr fontId="1" type="noConversion"/>
  </si>
  <si>
    <t>z = 0.6</t>
    <phoneticPr fontId="1" type="noConversion"/>
  </si>
  <si>
    <t>z = 0.8</t>
    <phoneticPr fontId="1" type="noConversion"/>
  </si>
  <si>
    <t>z = 1.0</t>
    <phoneticPr fontId="1" type="noConversion"/>
  </si>
  <si>
    <t>z = 1.2</t>
    <phoneticPr fontId="1" type="noConversion"/>
  </si>
  <si>
    <t>La(1+x)Fe11.6Si1.4</t>
    <phoneticPr fontId="1" type="noConversion"/>
  </si>
  <si>
    <t>x = 0.01</t>
    <phoneticPr fontId="1" type="noConversion"/>
  </si>
  <si>
    <t>x = 0.02</t>
    <phoneticPr fontId="1" type="noConversion"/>
  </si>
  <si>
    <t>La(Fe(1-x)Mnx)11.7Si1.3Hy</t>
    <phoneticPr fontId="1" type="noConversion"/>
  </si>
  <si>
    <t>La(Fe(1-x)Cox)11.9Si1.1</t>
    <phoneticPr fontId="1" type="noConversion"/>
  </si>
  <si>
    <t>Z = V</t>
    <phoneticPr fontId="1" type="noConversion"/>
  </si>
  <si>
    <t>Z = Cr</t>
    <phoneticPr fontId="1" type="noConversion"/>
  </si>
  <si>
    <t>Z = Cu</t>
    <phoneticPr fontId="1" type="noConversion"/>
  </si>
  <si>
    <t>Z = Ni</t>
    <phoneticPr fontId="1" type="noConversion"/>
  </si>
  <si>
    <t>x = 0.52</t>
    <phoneticPr fontId="1" type="noConversion"/>
  </si>
  <si>
    <t>x = 0.66</t>
    <phoneticPr fontId="1" type="noConversion"/>
  </si>
  <si>
    <t>x = 0.94</t>
    <phoneticPr fontId="1" type="noConversion"/>
  </si>
  <si>
    <t>x = 1.08</t>
    <phoneticPr fontId="1" type="noConversion"/>
  </si>
  <si>
    <t>La0.5Pr0.5Fe11.4Si1.6Hx</t>
  </si>
  <si>
    <t>La0.5Pr0.5 Fe11.5Si1.5Cx</t>
  </si>
  <si>
    <t>La1-xCex Fe11.5Si1.5Cy</t>
  </si>
  <si>
    <t>LaFe11.7 Si1.3</t>
  </si>
  <si>
    <t>LaFe11.7Si1.3C0.2H1.7</t>
  </si>
  <si>
    <t>y = 0.6</t>
    <phoneticPr fontId="1" type="noConversion"/>
  </si>
  <si>
    <t>y = 0.9</t>
    <phoneticPr fontId="1" type="noConversion"/>
  </si>
  <si>
    <t>y = 1.3</t>
    <phoneticPr fontId="1" type="noConversion"/>
  </si>
  <si>
    <t>y = 1.8</t>
    <phoneticPr fontId="1" type="noConversion"/>
  </si>
  <si>
    <t>x = 0.9</t>
    <phoneticPr fontId="1" type="noConversion"/>
  </si>
  <si>
    <t>x = 0.40</t>
    <phoneticPr fontId="1" type="noConversion"/>
  </si>
  <si>
    <t>x = 0.60</t>
    <phoneticPr fontId="1" type="noConversion"/>
  </si>
  <si>
    <t>x = 0.2, y = 0.4</t>
    <phoneticPr fontId="1" type="noConversion"/>
  </si>
  <si>
    <t>x = 0.2, y = 0.2</t>
    <phoneticPr fontId="1" type="noConversion"/>
  </si>
  <si>
    <t>x = 0.2, y = 0.0</t>
    <phoneticPr fontId="1" type="noConversion"/>
  </si>
  <si>
    <t>x = 0.1, y = 0.0</t>
    <phoneticPr fontId="1" type="noConversion"/>
  </si>
  <si>
    <t>x = 0.0, y = 0.0</t>
    <phoneticPr fontId="1" type="noConversion"/>
  </si>
  <si>
    <t>La(1-x)NdxFe11.5Si1.5</t>
    <phoneticPr fontId="1" type="noConversion"/>
  </si>
  <si>
    <t>x = 0.12</t>
    <phoneticPr fontId="1" type="noConversion"/>
  </si>
  <si>
    <t>x = 0.21</t>
    <phoneticPr fontId="1" type="noConversion"/>
  </si>
  <si>
    <t>x = 0.35</t>
    <phoneticPr fontId="1" type="noConversion"/>
  </si>
  <si>
    <t>x = 0.42</t>
    <phoneticPr fontId="1" type="noConversion"/>
  </si>
  <si>
    <t>x = 0.47</t>
    <phoneticPr fontId="1" type="noConversion"/>
  </si>
  <si>
    <t>x = 0.56</t>
    <phoneticPr fontId="1" type="noConversion"/>
  </si>
  <si>
    <t>LaFe(11.6-x)CrxSi1.4</t>
    <phoneticPr fontId="1" type="noConversion"/>
  </si>
  <si>
    <t>La0.8Ce0.2Fe(11.4-x)CoxSi1.6</t>
    <phoneticPr fontId="1" type="noConversion"/>
  </si>
  <si>
    <t>y = 0.00</t>
    <phoneticPr fontId="1" type="noConversion"/>
  </si>
  <si>
    <t>y = 0.01</t>
    <phoneticPr fontId="1" type="noConversion"/>
  </si>
  <si>
    <t>y = 0.02</t>
    <phoneticPr fontId="1" type="noConversion"/>
  </si>
  <si>
    <t>y = 0.03</t>
    <phoneticPr fontId="1" type="noConversion"/>
  </si>
  <si>
    <t>La(Fe(0.88-y)CrySi0.12)13</t>
    <phoneticPr fontId="1" type="noConversion"/>
  </si>
  <si>
    <t>La(Fe(0.88-y)MnySi0.12)13</t>
    <phoneticPr fontId="1" type="noConversion"/>
  </si>
  <si>
    <t>La(Fe(0.87-y)NiySi0.13)13</t>
    <phoneticPr fontId="1" type="noConversion"/>
  </si>
  <si>
    <t>x = 0.000</t>
    <phoneticPr fontId="1" type="noConversion"/>
  </si>
  <si>
    <t>x = 0.048</t>
    <phoneticPr fontId="1" type="noConversion"/>
  </si>
  <si>
    <t>x = 0.081</t>
    <phoneticPr fontId="1" type="noConversion"/>
  </si>
  <si>
    <t>La(Fe0.88Si(0.12-x)Alx)13</t>
    <phoneticPr fontId="1" type="noConversion"/>
  </si>
  <si>
    <t>LaFe(11.14-x)Co0.66NixSi1.2</t>
    <phoneticPr fontId="1" type="noConversion"/>
  </si>
  <si>
    <t>La(1-x)CexFe11.5Si1.5Cy</t>
    <phoneticPr fontId="1" type="noConversion"/>
  </si>
  <si>
    <t>LaFe11.14Co0.66Si(1.2-x)Alx</t>
    <phoneticPr fontId="1" type="noConversion"/>
  </si>
  <si>
    <t>La0.8Ce0.2Fe(11.5-x)CoxSi1.5</t>
    <phoneticPr fontId="1" type="noConversion"/>
  </si>
  <si>
    <t>La0.7Pr0.3Fe(13-x)Six</t>
    <phoneticPr fontId="1" type="noConversion"/>
  </si>
  <si>
    <t>x = 0.75</t>
    <phoneticPr fontId="1" type="noConversion"/>
  </si>
  <si>
    <t>LaFe(11.6-x)Si1.4Cox</t>
    <phoneticPr fontId="1" type="noConversion"/>
  </si>
  <si>
    <t>La0.7Ce0.3(Fe0.92Co0.08)11.4Si1.6</t>
  </si>
  <si>
    <t>x = 0.05</t>
    <phoneticPr fontId="1" type="noConversion"/>
  </si>
  <si>
    <t>x = 0.015</t>
    <phoneticPr fontId="1" type="noConversion"/>
  </si>
  <si>
    <t>x = 0.021</t>
    <phoneticPr fontId="1" type="noConversion"/>
  </si>
  <si>
    <t>x = 0.025</t>
    <phoneticPr fontId="1" type="noConversion"/>
  </si>
  <si>
    <t>x = 0.015, y = 0.0</t>
    <phoneticPr fontId="1" type="noConversion"/>
  </si>
  <si>
    <t>La0.8Ce0.2(Fe(1-x)Mnx)11.5Si1.5Hy</t>
    <phoneticPr fontId="1" type="noConversion"/>
  </si>
  <si>
    <t>La(1-x)GdxFe11.4Si1.6</t>
    <phoneticPr fontId="1" type="noConversion"/>
  </si>
  <si>
    <t>La(1-x)CaxFe11.5Si1.5</t>
    <phoneticPr fontId="1" type="noConversion"/>
  </si>
  <si>
    <t>y = 0.935</t>
    <phoneticPr fontId="1" type="noConversion"/>
  </si>
  <si>
    <t>y = 0.954</t>
    <phoneticPr fontId="1" type="noConversion"/>
  </si>
  <si>
    <t>y = 0.960</t>
    <phoneticPr fontId="1" type="noConversion"/>
  </si>
  <si>
    <t>y = 0.985</t>
    <phoneticPr fontId="1" type="noConversion"/>
  </si>
  <si>
    <t>y = 1.005</t>
    <phoneticPr fontId="1" type="noConversion"/>
  </si>
  <si>
    <t>y = 1.010</t>
    <phoneticPr fontId="1" type="noConversion"/>
  </si>
  <si>
    <t>y = 1.060</t>
    <phoneticPr fontId="1" type="noConversion"/>
  </si>
  <si>
    <t>y = 1.099</t>
    <phoneticPr fontId="1" type="noConversion"/>
  </si>
  <si>
    <t>y = 1.138</t>
    <phoneticPr fontId="1" type="noConversion"/>
  </si>
  <si>
    <t>y = 1.260</t>
    <phoneticPr fontId="1" type="noConversion"/>
  </si>
  <si>
    <t>La0.8Gd0.2Fe11.4Si1.6Bx</t>
  </si>
  <si>
    <t>La0.8Gd0.2Fe11.4Si1.6</t>
  </si>
  <si>
    <t>LaFe(11.5-x)MnxSi1.5</t>
    <phoneticPr fontId="1" type="noConversion"/>
  </si>
  <si>
    <t>LaFe11.0Co0.7Si1.3</t>
  </si>
  <si>
    <t>La0.9Dy0.1Fe11.0Co0.7Si1.3</t>
  </si>
  <si>
    <t>La0.8Dy0.2Fe11.0Co0.7Si1.3</t>
  </si>
  <si>
    <t>R = La</t>
    <phoneticPr fontId="1" type="noConversion"/>
  </si>
  <si>
    <t>R = Ce</t>
    <phoneticPr fontId="1" type="noConversion"/>
  </si>
  <si>
    <t>x = 0</t>
    <phoneticPr fontId="1" type="noConversion"/>
  </si>
  <si>
    <t>x = 1</t>
    <phoneticPr fontId="1" type="noConversion"/>
  </si>
  <si>
    <t>x = 2</t>
    <phoneticPr fontId="1" type="noConversion"/>
  </si>
  <si>
    <t>x = 3</t>
    <phoneticPr fontId="1" type="noConversion"/>
  </si>
  <si>
    <t>z = 0.5</t>
    <phoneticPr fontId="1" type="noConversion"/>
  </si>
  <si>
    <t>y = 0.8</t>
    <phoneticPr fontId="1" type="noConversion"/>
  </si>
  <si>
    <t>La(1+z)Fe(10.5-z)CoSi1.5</t>
    <phoneticPr fontId="1" type="noConversion"/>
  </si>
  <si>
    <t>LaFe(11-y)CoySi2</t>
    <phoneticPr fontId="1" type="noConversion"/>
  </si>
  <si>
    <t>LaFe11.14Co0.66Si(1.2-x)Gax</t>
    <phoneticPr fontId="1" type="noConversion"/>
  </si>
  <si>
    <t>La(1-x)ErxFe11.44Si1.56</t>
    <phoneticPr fontId="1" type="noConversion"/>
  </si>
  <si>
    <t>La0.7Pr0.3Fe(11.4-x)CrxSi1.6</t>
    <phoneticPr fontId="1" type="noConversion"/>
  </si>
  <si>
    <t>x = 0.23</t>
    <phoneticPr fontId="1" type="noConversion"/>
  </si>
  <si>
    <t>R = Pr</t>
    <phoneticPr fontId="1" type="noConversion"/>
  </si>
  <si>
    <t>R = Nd</t>
    <phoneticPr fontId="1" type="noConversion"/>
  </si>
  <si>
    <t>LaFe11.2Co(0.7-x)MnxSi1.1</t>
    <phoneticPr fontId="1" type="noConversion"/>
  </si>
  <si>
    <t>La0.7Nd0.3Fe11.2Si1.8</t>
  </si>
  <si>
    <t>LaFe11.4Si1.6H0.21</t>
  </si>
  <si>
    <t>LaFe11.4Si1.6H0.41</t>
  </si>
  <si>
    <t>LaFe11.4Si1.6H0.86</t>
  </si>
  <si>
    <t>LaFe11.5Si1.5Cy</t>
  </si>
  <si>
    <t>LaFe10.8Si2.2Cy</t>
  </si>
  <si>
    <t>LaFe11.7Si1.3N1.3</t>
  </si>
  <si>
    <t>LaFe11.5Si1.5H1.19</t>
  </si>
  <si>
    <t>La(Fe(1-x)Cox)11.4Si1.6</t>
    <phoneticPr fontId="1" type="noConversion"/>
  </si>
  <si>
    <t>LaFe(13-x-y)CoxSiy</t>
    <phoneticPr fontId="1" type="noConversion"/>
  </si>
  <si>
    <t>x = 0.86, y = 1.08</t>
    <phoneticPr fontId="1" type="noConversion"/>
  </si>
  <si>
    <t>x = 0.94, y = 1.01</t>
    <phoneticPr fontId="1" type="noConversion"/>
  </si>
  <si>
    <t>x = 0.97, y = 1.07</t>
    <phoneticPr fontId="1" type="noConversion"/>
  </si>
  <si>
    <t>y = 0.7</t>
    <phoneticPr fontId="1" type="noConversion"/>
  </si>
  <si>
    <t>x = 3.0</t>
    <phoneticPr fontId="1" type="noConversion"/>
  </si>
  <si>
    <t>La(1-z)Prz(Fe0.88Si0.12)13</t>
    <phoneticPr fontId="1" type="noConversion"/>
  </si>
  <si>
    <t>LaFe(11-x)CoxSi2</t>
    <phoneticPr fontId="1" type="noConversion"/>
  </si>
  <si>
    <t>x = 4</t>
    <phoneticPr fontId="1" type="noConversion"/>
  </si>
  <si>
    <t>LaFe11.7(Si(1-x)Cux)1.3</t>
    <phoneticPr fontId="1" type="noConversion"/>
  </si>
  <si>
    <t>La(1-x)PrxFe11.44Si1.56</t>
    <phoneticPr fontId="1" type="noConversion"/>
  </si>
  <si>
    <t>x = 0.07</t>
    <phoneticPr fontId="1" type="noConversion"/>
  </si>
  <si>
    <t>La(Fe(1-x)Cox)11.2Si1.8</t>
    <phoneticPr fontId="1" type="noConversion"/>
  </si>
  <si>
    <t>x = 1.43</t>
    <phoneticPr fontId="1" type="noConversion"/>
  </si>
  <si>
    <t>x = 2.6</t>
    <phoneticPr fontId="1" type="noConversion"/>
  </si>
  <si>
    <t>x = 2.8</t>
    <phoneticPr fontId="1" type="noConversion"/>
  </si>
  <si>
    <t>x = 1.60</t>
    <phoneticPr fontId="1" type="noConversion"/>
  </si>
  <si>
    <t>x = 1.80</t>
    <phoneticPr fontId="1" type="noConversion"/>
  </si>
  <si>
    <t>x = 1.00</t>
    <phoneticPr fontId="1" type="noConversion"/>
  </si>
  <si>
    <t>x = 1.20</t>
    <phoneticPr fontId="1" type="noConversion"/>
  </si>
  <si>
    <t>x = 4.0</t>
    <phoneticPr fontId="1" type="noConversion"/>
  </si>
  <si>
    <t>LaFe(11-x)Six</t>
    <phoneticPr fontId="1" type="noConversion"/>
  </si>
  <si>
    <t>La(1-x)PrxFe10.7Co0.8Si1.5</t>
    <phoneticPr fontId="1" type="noConversion"/>
  </si>
  <si>
    <t>LaFe11.03Co0.8Al(1.17-x)Six</t>
    <phoneticPr fontId="1" type="noConversion"/>
  </si>
  <si>
    <t>x = 1.17</t>
    <phoneticPr fontId="1" type="noConversion"/>
  </si>
  <si>
    <t>x = 1.30</t>
    <phoneticPr fontId="1" type="noConversion"/>
  </si>
  <si>
    <t>x = 0.98</t>
    <phoneticPr fontId="1" type="noConversion"/>
  </si>
  <si>
    <t>x = 1.02</t>
    <phoneticPr fontId="1" type="noConversion"/>
  </si>
  <si>
    <t>x = 0.96</t>
    <phoneticPr fontId="1" type="noConversion"/>
  </si>
  <si>
    <t xml:space="preserve">LaFe(13-y)SiyC0.2 </t>
    <phoneticPr fontId="1" type="noConversion"/>
  </si>
  <si>
    <t>y = 1.2</t>
    <phoneticPr fontId="1" type="noConversion"/>
  </si>
  <si>
    <t>y = 1.4</t>
    <phoneticPr fontId="1" type="noConversion"/>
  </si>
  <si>
    <t>La(1-x)CexFe10.4Si2.6</t>
    <phoneticPr fontId="1" type="noConversion"/>
  </si>
  <si>
    <t>La(1-x)PrxFe11.5Si1.5</t>
    <phoneticPr fontId="1" type="noConversion"/>
  </si>
  <si>
    <t>(La(1-x)Cex)2Fe11Si2</t>
    <phoneticPr fontId="1" type="noConversion"/>
  </si>
  <si>
    <t>LaFe(12-x)SiCox</t>
    <phoneticPr fontId="1" type="noConversion"/>
  </si>
  <si>
    <t>La0.7Ce0.3Fe(11.5-x)MnxSi1.5H1.8</t>
    <phoneticPr fontId="1" type="noConversion"/>
  </si>
  <si>
    <t>La0.7Ce0.3Fe(11.55-y)MnySi1.45</t>
    <phoneticPr fontId="1" type="noConversion"/>
  </si>
  <si>
    <t>La0.7Ce0.3Fe(11.55-y)MnySi1.45H1.8</t>
    <phoneticPr fontId="1" type="noConversion"/>
  </si>
  <si>
    <t>La(1-x)CexFe11.5Si1.5</t>
    <phoneticPr fontId="1" type="noConversion"/>
  </si>
  <si>
    <t>y = 0.235</t>
    <phoneticPr fontId="1" type="noConversion"/>
  </si>
  <si>
    <t>y = 0.175</t>
    <phoneticPr fontId="1" type="noConversion"/>
  </si>
  <si>
    <t>x = 0.125</t>
    <phoneticPr fontId="1" type="noConversion"/>
  </si>
  <si>
    <t>x = 0.260</t>
    <phoneticPr fontId="1" type="noConversion"/>
  </si>
  <si>
    <t>x = 0.200</t>
    <phoneticPr fontId="1" type="noConversion"/>
  </si>
  <si>
    <t>x = 0.220</t>
    <phoneticPr fontId="1" type="noConversion"/>
  </si>
  <si>
    <t>y = 0.220</t>
    <phoneticPr fontId="1" type="noConversion"/>
  </si>
  <si>
    <t>y = 0.190</t>
    <phoneticPr fontId="1" type="noConversion"/>
  </si>
  <si>
    <t>LaFe11.4Al(1.6-x)Six</t>
    <phoneticPr fontId="1" type="noConversion"/>
  </si>
  <si>
    <t>La(Fe(1-x)Cox)11.7Al1.3</t>
    <phoneticPr fontId="1" type="noConversion"/>
  </si>
  <si>
    <t>572-15</t>
    <phoneticPr fontId="1" type="noConversion"/>
  </si>
  <si>
    <t>572-26</t>
    <phoneticPr fontId="1" type="noConversion"/>
  </si>
  <si>
    <t>634-48</t>
    <phoneticPr fontId="1" type="noConversion"/>
  </si>
  <si>
    <t>634-51</t>
    <phoneticPr fontId="1" type="noConversion"/>
  </si>
  <si>
    <t>653-4</t>
    <phoneticPr fontId="1" type="noConversion"/>
  </si>
  <si>
    <t>LaFe11.6 Si1.4Cx</t>
    <phoneticPr fontId="1" type="noConversion"/>
  </si>
  <si>
    <t>[18.6, 20, 21.2, 23]</t>
    <phoneticPr fontId="1" type="noConversion"/>
  </si>
  <si>
    <t>[1, 2, 3, 5]</t>
    <phoneticPr fontId="1" type="noConversion"/>
  </si>
  <si>
    <t>[195, 195, 195, 195]</t>
    <phoneticPr fontId="1" type="noConversion"/>
  </si>
  <si>
    <t>[4.6, 8.4, 12.7, 20.4]</t>
    <phoneticPr fontId="1" type="noConversion"/>
  </si>
  <si>
    <t>[24, 26]</t>
    <phoneticPr fontId="1" type="noConversion"/>
  </si>
  <si>
    <t>[2, 5]</t>
  </si>
  <si>
    <t>[2, 5]</t>
    <phoneticPr fontId="1" type="noConversion"/>
  </si>
  <si>
    <t>[189, 189]</t>
    <phoneticPr fontId="1" type="noConversion"/>
  </si>
  <si>
    <t>[8.8, 20.8]</t>
    <phoneticPr fontId="1" type="noConversion"/>
  </si>
  <si>
    <t>[28, 30]</t>
    <phoneticPr fontId="1" type="noConversion"/>
  </si>
  <si>
    <t>[20, 24]</t>
    <phoneticPr fontId="1" type="noConversion"/>
  </si>
  <si>
    <t>[19, 23]</t>
    <phoneticPr fontId="1" type="noConversion"/>
  </si>
  <si>
    <t>[28, 31]</t>
    <phoneticPr fontId="1" type="noConversion"/>
  </si>
  <si>
    <t>[184, 184]</t>
    <phoneticPr fontId="1" type="noConversion"/>
  </si>
  <si>
    <t>[234, 236]</t>
    <phoneticPr fontId="1" type="noConversion"/>
  </si>
  <si>
    <t>[277, 277]</t>
    <phoneticPr fontId="1" type="noConversion"/>
  </si>
  <si>
    <t>[324, 324]</t>
    <phoneticPr fontId="1" type="noConversion"/>
  </si>
  <si>
    <t>[8.9, 20.4]</t>
    <phoneticPr fontId="1" type="noConversion"/>
  </si>
  <si>
    <t>[8.6, 18.9]</t>
    <phoneticPr fontId="1" type="noConversion"/>
  </si>
  <si>
    <t>[8.2, 18.1]</t>
    <phoneticPr fontId="1" type="noConversion"/>
  </si>
  <si>
    <t>[9.2, 15.5]</t>
    <phoneticPr fontId="1" type="noConversion"/>
  </si>
  <si>
    <t>[8.7, 15]</t>
    <phoneticPr fontId="1" type="noConversion"/>
  </si>
  <si>
    <t>[9.4, 16.5]</t>
    <phoneticPr fontId="1" type="noConversion"/>
  </si>
  <si>
    <t>[8, 15]</t>
    <phoneticPr fontId="1" type="noConversion"/>
  </si>
  <si>
    <t>[7.4, 13.5]</t>
    <phoneticPr fontId="1" type="noConversion"/>
  </si>
  <si>
    <t>[12.3, 18.4]</t>
    <phoneticPr fontId="1" type="noConversion"/>
  </si>
  <si>
    <t>[1, 2, 5]</t>
    <phoneticPr fontId="1" type="noConversion"/>
  </si>
  <si>
    <t>[10.5, 14.3, 19.4]</t>
    <phoneticPr fontId="1" type="noConversion"/>
  </si>
  <si>
    <t>[209, 209, 213]</t>
    <phoneticPr fontId="1" type="noConversion"/>
  </si>
  <si>
    <t>[7.55, 11.6, 23.8]</t>
    <phoneticPr fontId="1" type="noConversion"/>
  </si>
  <si>
    <t>[194.9, 198.4]</t>
    <phoneticPr fontId="1" type="noConversion"/>
  </si>
  <si>
    <t>[7.3, 22.2]</t>
    <phoneticPr fontId="1" type="noConversion"/>
  </si>
  <si>
    <t>[201.2, 207.2]</t>
    <phoneticPr fontId="1" type="noConversion"/>
  </si>
  <si>
    <t>[189.3, 192.6]</t>
    <phoneticPr fontId="1" type="noConversion"/>
  </si>
  <si>
    <t>[6.7, 21.9]</t>
    <phoneticPr fontId="1" type="noConversion"/>
  </si>
  <si>
    <t>[195.8, 201.1]</t>
    <phoneticPr fontId="1" type="noConversion"/>
  </si>
  <si>
    <t>[7.2, 22.8]</t>
    <phoneticPr fontId="1" type="noConversion"/>
  </si>
  <si>
    <t>[221.5, 225.3]</t>
    <phoneticPr fontId="1" type="noConversion"/>
  </si>
  <si>
    <t>[16.9, 29.8]</t>
    <phoneticPr fontId="1" type="noConversion"/>
  </si>
  <si>
    <t>[235.4, 239.4]</t>
    <phoneticPr fontId="1" type="noConversion"/>
  </si>
  <si>
    <t>[26.7, 39.8]</t>
    <phoneticPr fontId="1" type="noConversion"/>
  </si>
  <si>
    <t>[9.8, 21.5]</t>
    <phoneticPr fontId="1" type="noConversion"/>
  </si>
  <si>
    <t>[9.8, 20.5]</t>
    <phoneticPr fontId="1" type="noConversion"/>
  </si>
  <si>
    <t>[8.5, 20.2]</t>
    <phoneticPr fontId="1" type="noConversion"/>
  </si>
  <si>
    <t>[9.4, 20.8]</t>
    <phoneticPr fontId="1" type="noConversion"/>
  </si>
  <si>
    <t>[186.7, 193.4]</t>
    <phoneticPr fontId="1" type="noConversion"/>
  </si>
  <si>
    <t>[189.5, 195.6]</t>
    <phoneticPr fontId="1" type="noConversion"/>
  </si>
  <si>
    <t>[195.8, 198.7]</t>
    <phoneticPr fontId="1" type="noConversion"/>
  </si>
  <si>
    <t>[195.6, 201.7]</t>
    <phoneticPr fontId="1" type="noConversion"/>
  </si>
  <si>
    <t>[21.4, 24.3]</t>
    <phoneticPr fontId="1" type="noConversion"/>
  </si>
  <si>
    <t>[15.4, 17.2]</t>
    <phoneticPr fontId="1" type="noConversion"/>
  </si>
  <si>
    <t>[6.8, 8.9]</t>
    <phoneticPr fontId="1" type="noConversion"/>
  </si>
  <si>
    <t>[19.2, 21.7]</t>
    <phoneticPr fontId="1" type="noConversion"/>
  </si>
  <si>
    <t>[4.8, 9.5]</t>
    <phoneticPr fontId="1" type="noConversion"/>
  </si>
  <si>
    <t>[4.5, 9]</t>
    <phoneticPr fontId="1" type="noConversion"/>
  </si>
  <si>
    <t>[2.1, 9]</t>
    <phoneticPr fontId="1" type="noConversion"/>
  </si>
  <si>
    <t>[8.8, 14.8]</t>
    <phoneticPr fontId="1" type="noConversion"/>
  </si>
  <si>
    <t>[20.1, 23]</t>
    <phoneticPr fontId="1" type="noConversion"/>
  </si>
  <si>
    <t>[267.9, 272.1]</t>
    <phoneticPr fontId="1" type="noConversion"/>
  </si>
  <si>
    <t>[302.7, 303.3]</t>
    <phoneticPr fontId="1" type="noConversion"/>
  </si>
  <si>
    <t>[237.3, 234.2]</t>
    <phoneticPr fontId="1" type="noConversion"/>
  </si>
  <si>
    <t>[214.7, 217.8]</t>
    <phoneticPr fontId="1" type="noConversion"/>
  </si>
  <si>
    <t>[195.2, 204.1]</t>
    <phoneticPr fontId="1" type="noConversion"/>
  </si>
  <si>
    <t>[184.3, 192.9]</t>
    <phoneticPr fontId="1" type="noConversion"/>
  </si>
  <si>
    <t>[287, 287]</t>
    <phoneticPr fontId="1" type="noConversion"/>
  </si>
  <si>
    <t>[41.2, 55.3]</t>
    <phoneticPr fontId="1" type="noConversion"/>
  </si>
  <si>
    <t>[44.9, 60.1]</t>
    <phoneticPr fontId="1" type="noConversion"/>
  </si>
  <si>
    <t>[36.9, 41.6]</t>
    <phoneticPr fontId="1" type="noConversion"/>
  </si>
  <si>
    <t>[18, 28.9]</t>
    <phoneticPr fontId="1" type="noConversion"/>
  </si>
  <si>
    <t>[9.6, 21.5]</t>
    <phoneticPr fontId="1" type="noConversion"/>
  </si>
  <si>
    <t>[8.7, 20.4]</t>
    <phoneticPr fontId="1" type="noConversion"/>
  </si>
  <si>
    <t>[7, 17.2]</t>
    <phoneticPr fontId="1" type="noConversion"/>
  </si>
  <si>
    <t>[1, 2, 4, 5]</t>
    <phoneticPr fontId="1" type="noConversion"/>
  </si>
  <si>
    <t>[16.4, 22.9]</t>
    <phoneticPr fontId="1" type="noConversion"/>
  </si>
  <si>
    <t>[12.3, 19.8]</t>
    <phoneticPr fontId="1" type="noConversion"/>
  </si>
  <si>
    <t>[8.8, 15.6]</t>
    <phoneticPr fontId="1" type="noConversion"/>
  </si>
  <si>
    <t>[241.5, 245.6]</t>
    <phoneticPr fontId="1" type="noConversion"/>
  </si>
  <si>
    <t>[271.2, 273.7]</t>
    <phoneticPr fontId="1" type="noConversion"/>
  </si>
  <si>
    <t>[298.5, 298.8]</t>
    <phoneticPr fontId="1" type="noConversion"/>
  </si>
  <si>
    <t>[10.8, 22.1]</t>
    <phoneticPr fontId="1" type="noConversion"/>
  </si>
  <si>
    <t>[14.9, 26.7]</t>
    <phoneticPr fontId="1" type="noConversion"/>
  </si>
  <si>
    <t>[16.6, 33.4]</t>
    <phoneticPr fontId="1" type="noConversion"/>
  </si>
  <si>
    <t>[22.8, 24.1, 27.3]</t>
    <phoneticPr fontId="1" type="noConversion"/>
  </si>
  <si>
    <t>[20.5, 23.4, 27]</t>
    <phoneticPr fontId="1" type="noConversion"/>
  </si>
  <si>
    <t>[189.3, 193, 189]</t>
    <phoneticPr fontId="1" type="noConversion"/>
  </si>
  <si>
    <t>[190.5, 190.4, 190.5]</t>
    <phoneticPr fontId="1" type="noConversion"/>
  </si>
  <si>
    <t>[2.8, 8.3, 19.3]</t>
    <phoneticPr fontId="1" type="noConversion"/>
  </si>
  <si>
    <t>[2.3, 3.2, 5.7]</t>
    <phoneticPr fontId="1" type="noConversion"/>
  </si>
  <si>
    <t>[1, 1.4]</t>
  </si>
  <si>
    <t>[1, 1.4]</t>
    <phoneticPr fontId="1" type="noConversion"/>
  </si>
  <si>
    <t>[342.9, 345.2]</t>
    <phoneticPr fontId="1" type="noConversion"/>
  </si>
  <si>
    <t>[325.8, 325.5]</t>
    <phoneticPr fontId="1" type="noConversion"/>
  </si>
  <si>
    <t>[306.7, 306.5]</t>
    <phoneticPr fontId="1" type="noConversion"/>
  </si>
  <si>
    <t>[290.6, 291.1]</t>
    <phoneticPr fontId="1" type="noConversion"/>
  </si>
  <si>
    <t>[279.4, 279.9]</t>
    <phoneticPr fontId="1" type="noConversion"/>
  </si>
  <si>
    <t>[265.6, 266.2]</t>
    <phoneticPr fontId="1" type="noConversion"/>
  </si>
  <si>
    <t>[255.6, 255.4]</t>
    <phoneticPr fontId="1" type="noConversion"/>
  </si>
  <si>
    <t>[9, 10.2]</t>
    <phoneticPr fontId="1" type="noConversion"/>
  </si>
  <si>
    <t>[11.4, 12.7]</t>
    <phoneticPr fontId="1" type="noConversion"/>
  </si>
  <si>
    <t>[14.3, 16.4]</t>
    <phoneticPr fontId="1" type="noConversion"/>
  </si>
  <si>
    <t>[17.2, 19.2]</t>
    <phoneticPr fontId="1" type="noConversion"/>
  </si>
  <si>
    <t>[22.9, 24.1]</t>
    <phoneticPr fontId="1" type="noConversion"/>
  </si>
  <si>
    <t>[24.5, 26.6]</t>
    <phoneticPr fontId="1" type="noConversion"/>
  </si>
  <si>
    <t>[28.2, 31.5]</t>
    <phoneticPr fontId="1" type="noConversion"/>
  </si>
  <si>
    <t>[1, 1.5, 2]</t>
  </si>
  <si>
    <t>[1, 1.5, 2]</t>
    <phoneticPr fontId="1" type="noConversion"/>
  </si>
  <si>
    <t>[1, 1.5]</t>
  </si>
  <si>
    <t>[1, 1.5]</t>
    <phoneticPr fontId="1" type="noConversion"/>
  </si>
  <si>
    <t>[13.9, 18.7]</t>
    <phoneticPr fontId="1" type="noConversion"/>
  </si>
  <si>
    <t>[14.1, 17.7]</t>
    <phoneticPr fontId="1" type="noConversion"/>
  </si>
  <si>
    <t>[14.2, 16.4]</t>
    <phoneticPr fontId="1" type="noConversion"/>
  </si>
  <si>
    <t>[14, 16]</t>
    <phoneticPr fontId="1" type="noConversion"/>
  </si>
  <si>
    <t>[14.1, 16.1]</t>
    <phoneticPr fontId="1" type="noConversion"/>
  </si>
  <si>
    <t>[11.4, 13.4]</t>
    <phoneticPr fontId="1" type="noConversion"/>
  </si>
  <si>
    <t>[11, 12.7]</t>
    <phoneticPr fontId="1" type="noConversion"/>
  </si>
  <si>
    <t>[8.7, 10.2]</t>
    <phoneticPr fontId="1" type="noConversion"/>
  </si>
  <si>
    <t>[271.1, 271.3]</t>
    <phoneticPr fontId="1" type="noConversion"/>
  </si>
  <si>
    <t>[286.8, 287.2]</t>
    <phoneticPr fontId="1" type="noConversion"/>
  </si>
  <si>
    <t>[297.5, 297.8]</t>
    <phoneticPr fontId="1" type="noConversion"/>
  </si>
  <si>
    <t>[305.3, 306]</t>
    <phoneticPr fontId="1" type="noConversion"/>
  </si>
  <si>
    <t>[314.9, 315.5]</t>
    <phoneticPr fontId="1" type="noConversion"/>
  </si>
  <si>
    <t>[322.1, 322.5]</t>
    <phoneticPr fontId="1" type="noConversion"/>
  </si>
  <si>
    <t>[328.9, 329.5]</t>
    <phoneticPr fontId="1" type="noConversion"/>
  </si>
  <si>
    <t>[340.5, 340.9]</t>
    <phoneticPr fontId="1" type="noConversion"/>
  </si>
  <si>
    <t>[6.2, 8.4]</t>
    <phoneticPr fontId="1" type="noConversion"/>
  </si>
  <si>
    <t>[5.2, 7.1]</t>
    <phoneticPr fontId="1" type="noConversion"/>
  </si>
  <si>
    <t>[4.9, 6.8]</t>
    <phoneticPr fontId="1" type="noConversion"/>
  </si>
  <si>
    <t>[4.3, 6.2]</t>
    <phoneticPr fontId="1" type="noConversion"/>
  </si>
  <si>
    <t>[3.3, 5.2]</t>
    <phoneticPr fontId="1" type="noConversion"/>
  </si>
  <si>
    <t>[3, 4.6]</t>
    <phoneticPr fontId="1" type="noConversion"/>
  </si>
  <si>
    <t>[192, 194]</t>
    <phoneticPr fontId="1" type="noConversion"/>
  </si>
  <si>
    <t>[10, 21.6]</t>
    <phoneticPr fontId="1" type="noConversion"/>
  </si>
  <si>
    <t>[13.2, 17.6]</t>
    <phoneticPr fontId="1" type="noConversion"/>
  </si>
  <si>
    <t>[4.0, 7.4, 12.2, 14.2]</t>
    <phoneticPr fontId="1" type="noConversion"/>
  </si>
  <si>
    <t>[24.1, 23.7, 27.7, 27.7]</t>
    <phoneticPr fontId="1" type="noConversion"/>
  </si>
  <si>
    <t>[5.8, 11.6]</t>
    <phoneticPr fontId="1" type="noConversion"/>
  </si>
  <si>
    <t>[4.03, 7.1, 11.8, 13.5]</t>
    <phoneticPr fontId="1" type="noConversion"/>
  </si>
  <si>
    <t>[25.6, 28.3, 31.3, 32.8]</t>
    <phoneticPr fontId="1" type="noConversion"/>
  </si>
  <si>
    <t>[11.6, 12.5, 13.0]</t>
    <phoneticPr fontId="1" type="noConversion"/>
  </si>
  <si>
    <t>[13.1, 14.8, 17.0]</t>
    <phoneticPr fontId="1" type="noConversion"/>
  </si>
  <si>
    <t>[4.5, 5.7, 7.1]</t>
    <phoneticPr fontId="1" type="noConversion"/>
  </si>
  <si>
    <t>[14.8, 15.0, 15.9]</t>
    <phoneticPr fontId="1" type="noConversion"/>
  </si>
  <si>
    <t>[14.9, 15.6, 16.2]</t>
    <phoneticPr fontId="1" type="noConversion"/>
  </si>
  <si>
    <t>[15.2, 15.6, 16.2]</t>
    <phoneticPr fontId="1" type="noConversion"/>
  </si>
  <si>
    <t>[13.8, 15.7, 16.6]</t>
    <phoneticPr fontId="1" type="noConversion"/>
  </si>
  <si>
    <t>[15.7, 16.1, 16.6]</t>
    <phoneticPr fontId="1" type="noConversion"/>
  </si>
  <si>
    <t>[176.4, 176.4, 179.5]</t>
    <phoneticPr fontId="1" type="noConversion"/>
  </si>
  <si>
    <t>[194.5, 194.6, 194.6]</t>
    <phoneticPr fontId="1" type="noConversion"/>
  </si>
  <si>
    <t>[176.6, 178, 179.6]</t>
    <phoneticPr fontId="1" type="noConversion"/>
  </si>
  <si>
    <t>[174.9, 176.5, 178.4]</t>
    <phoneticPr fontId="1" type="noConversion"/>
  </si>
  <si>
    <t>[171.9, 174.7, 176.4]</t>
    <phoneticPr fontId="1" type="noConversion"/>
  </si>
  <si>
    <t>[173.4, 176.7, 179.1]</t>
    <phoneticPr fontId="1" type="noConversion"/>
  </si>
  <si>
    <t>[173.6, 176.6, 177.2]</t>
    <phoneticPr fontId="1" type="noConversion"/>
  </si>
  <si>
    <t>[344.5, 344.5, 347.5]</t>
    <phoneticPr fontId="1" type="noConversion"/>
  </si>
  <si>
    <t>[6.8, 10.8, 13.6]</t>
    <phoneticPr fontId="1" type="noConversion"/>
  </si>
  <si>
    <t>[5.9, 8.2, 10.7]</t>
    <phoneticPr fontId="1" type="noConversion"/>
  </si>
  <si>
    <t>[6.5, 9.7, 12.7]</t>
    <phoneticPr fontId="1" type="noConversion"/>
  </si>
  <si>
    <t>[6.6, 9.7, 12.3]</t>
    <phoneticPr fontId="1" type="noConversion"/>
  </si>
  <si>
    <t>[11, 12.8, 14.1]</t>
    <phoneticPr fontId="1" type="noConversion"/>
  </si>
  <si>
    <t>[6.7, 10.7, 13]</t>
    <phoneticPr fontId="1" type="noConversion"/>
  </si>
  <si>
    <t>[7.6, 14.2, 14.2]</t>
    <phoneticPr fontId="1" type="noConversion"/>
  </si>
  <si>
    <t>[5.3, 7, 9.3]</t>
    <phoneticPr fontId="1" type="noConversion"/>
  </si>
  <si>
    <t>[14.3, 19.3]</t>
    <phoneticPr fontId="1" type="noConversion"/>
  </si>
  <si>
    <t>[6.3, 11.5]</t>
    <phoneticPr fontId="1" type="noConversion"/>
  </si>
  <si>
    <t>[4.6, 9.1]</t>
    <phoneticPr fontId="1" type="noConversion"/>
  </si>
  <si>
    <t>[5.9, 10.6]</t>
    <phoneticPr fontId="1" type="noConversion"/>
  </si>
  <si>
    <t>[8.4, 17]</t>
    <phoneticPr fontId="1" type="noConversion"/>
  </si>
  <si>
    <t>[16, 23.4]</t>
    <phoneticPr fontId="1" type="noConversion"/>
  </si>
  <si>
    <t>[13, 17.7]</t>
    <phoneticPr fontId="1" type="noConversion"/>
  </si>
  <si>
    <t>[11, 15.9]</t>
    <phoneticPr fontId="1" type="noConversion"/>
  </si>
  <si>
    <t>[16.4, 23]</t>
    <phoneticPr fontId="1" type="noConversion"/>
  </si>
  <si>
    <t>[12.2, 19.7]</t>
    <phoneticPr fontId="1" type="noConversion"/>
  </si>
  <si>
    <t>[8.7, 15.6]</t>
    <phoneticPr fontId="1" type="noConversion"/>
  </si>
  <si>
    <t>[25.2, 27.6]</t>
    <phoneticPr fontId="1" type="noConversion"/>
  </si>
  <si>
    <t>[7.9, 15]</t>
    <phoneticPr fontId="1" type="noConversion"/>
  </si>
  <si>
    <t>[8.1, 14.6]</t>
    <phoneticPr fontId="1" type="noConversion"/>
  </si>
  <si>
    <t>[6, 11.7]</t>
    <phoneticPr fontId="1" type="noConversion"/>
  </si>
  <si>
    <t>[12.1, 24.2]</t>
    <phoneticPr fontId="1" type="noConversion"/>
  </si>
  <si>
    <t>[26.3, 37.7]</t>
    <phoneticPr fontId="1" type="noConversion"/>
  </si>
  <si>
    <t>[47.2, 63.3]</t>
    <phoneticPr fontId="1" type="noConversion"/>
  </si>
  <si>
    <t>[207.6, 210.8]</t>
    <phoneticPr fontId="1" type="noConversion"/>
  </si>
  <si>
    <t>[239.9, 242.5]</t>
    <phoneticPr fontId="1" type="noConversion"/>
  </si>
  <si>
    <t>[276.2, 276.8]</t>
    <phoneticPr fontId="1" type="noConversion"/>
  </si>
  <si>
    <t>[2.1, 3.9, 6, 7]</t>
    <phoneticPr fontId="1" type="noConversion"/>
  </si>
  <si>
    <t>[7.2, 11.8, 15.9, 17]</t>
    <phoneticPr fontId="1" type="noConversion"/>
  </si>
  <si>
    <t>[207.5, 207.6, 209.4, 211.1]</t>
    <phoneticPr fontId="1" type="noConversion"/>
  </si>
  <si>
    <t>[198, 198, 201.9, 203.1]</t>
    <phoneticPr fontId="1" type="noConversion"/>
  </si>
  <si>
    <t>[9.4, 12.3, 20.4, 22.7]</t>
    <phoneticPr fontId="1" type="noConversion"/>
  </si>
  <si>
    <t>[16.9, 23.2, 24.2]</t>
    <phoneticPr fontId="1" type="noConversion"/>
  </si>
  <si>
    <t>[14.6, 17.7, 19.3]</t>
    <phoneticPr fontId="1" type="noConversion"/>
  </si>
  <si>
    <t>[183.7, 183.6, 183.6]</t>
    <phoneticPr fontId="1" type="noConversion"/>
  </si>
  <si>
    <t>[213.7, 213.6, 213.6]</t>
    <phoneticPr fontId="1" type="noConversion"/>
  </si>
  <si>
    <t>[3.4, 7.1, 19.3]</t>
    <phoneticPr fontId="1" type="noConversion"/>
  </si>
  <si>
    <t>[4.4, 9.9, 13.1]</t>
    <phoneticPr fontId="1" type="noConversion"/>
  </si>
  <si>
    <t>[22.8, 26.2]</t>
    <phoneticPr fontId="1" type="noConversion"/>
  </si>
  <si>
    <t>[21.9, 26.3]</t>
    <phoneticPr fontId="1" type="noConversion"/>
  </si>
  <si>
    <t>[17.5, 22]</t>
    <phoneticPr fontId="1" type="noConversion"/>
  </si>
  <si>
    <t>[191.4, 197.1]</t>
    <phoneticPr fontId="1" type="noConversion"/>
  </si>
  <si>
    <t>[262.4, 262.1]</t>
    <phoneticPr fontId="1" type="noConversion"/>
  </si>
  <si>
    <t>[318.9, 321.1]</t>
    <phoneticPr fontId="1" type="noConversion"/>
  </si>
  <si>
    <t>[9.1, 20.7]</t>
    <phoneticPr fontId="1" type="noConversion"/>
  </si>
  <si>
    <t>[7.6, 18.7]</t>
    <phoneticPr fontId="1" type="noConversion"/>
  </si>
  <si>
    <t>[8.1, 18.7]</t>
    <phoneticPr fontId="1" type="noConversion"/>
  </si>
  <si>
    <t>[30.5, 32.8]</t>
    <phoneticPr fontId="1" type="noConversion"/>
  </si>
  <si>
    <t>[21.2, 25.3]</t>
    <phoneticPr fontId="1" type="noConversion"/>
  </si>
  <si>
    <t>[182.6, 189.3]</t>
    <phoneticPr fontId="1" type="noConversion"/>
  </si>
  <si>
    <t>[211.5, 214.8]</t>
    <phoneticPr fontId="1" type="noConversion"/>
  </si>
  <si>
    <t>[5.8, 19.3]</t>
    <phoneticPr fontId="1" type="noConversion"/>
  </si>
  <si>
    <t>[9.3, 21]</t>
    <phoneticPr fontId="1" type="noConversion"/>
  </si>
  <si>
    <t>[22.8, 27.3]</t>
    <phoneticPr fontId="1" type="noConversion"/>
  </si>
  <si>
    <t>[17.8, 23.5]</t>
    <phoneticPr fontId="1" type="noConversion"/>
  </si>
  <si>
    <t>[13.8, 18.6]</t>
    <phoneticPr fontId="1" type="noConversion"/>
  </si>
  <si>
    <t>[194.3, 199.5]</t>
    <phoneticPr fontId="1" type="noConversion"/>
  </si>
  <si>
    <t>[215.4, 218.7]</t>
    <phoneticPr fontId="1" type="noConversion"/>
  </si>
  <si>
    <t>[320.9, 324.1]</t>
    <phoneticPr fontId="1" type="noConversion"/>
  </si>
  <si>
    <t>[7.3, 18.9]</t>
    <phoneticPr fontId="1" type="noConversion"/>
  </si>
  <si>
    <t>[9.2, 19.9]</t>
    <phoneticPr fontId="1" type="noConversion"/>
  </si>
  <si>
    <t>[11.6, 22.8]</t>
    <phoneticPr fontId="1" type="noConversion"/>
  </si>
  <si>
    <t>[4, 7.7,12.2, 13.2]</t>
    <phoneticPr fontId="1" type="noConversion"/>
  </si>
  <si>
    <t>[10.9, 14.4, 18.1, 19.4]</t>
    <phoneticPr fontId="1" type="noConversion"/>
  </si>
  <si>
    <t>[2.6, 4.6, 7.9, 9.3]</t>
    <phoneticPr fontId="1" type="noConversion"/>
  </si>
  <si>
    <t>[214.4, 215.9, 215.9, 219.1]</t>
    <phoneticPr fontId="1" type="noConversion"/>
  </si>
  <si>
    <t>[202.1, 204, 205.9, 206]</t>
    <phoneticPr fontId="1" type="noConversion"/>
  </si>
  <si>
    <t>[285.9, 286.4, 287, 287.2]</t>
    <phoneticPr fontId="1" type="noConversion"/>
  </si>
  <si>
    <t>[14.2, 18.1, 25.3, 30.2]</t>
    <phoneticPr fontId="1" type="noConversion"/>
  </si>
  <si>
    <t>[6.4, 11.2, 19, 23]</t>
    <phoneticPr fontId="1" type="noConversion"/>
  </si>
  <si>
    <t>[31.4, 38.3, 45.8, 49.1]</t>
    <phoneticPr fontId="1" type="noConversion"/>
  </si>
  <si>
    <t>[0.6, 1, 2]</t>
    <phoneticPr fontId="1" type="noConversion"/>
  </si>
  <si>
    <t>[4.2, 7.4, 11.8, 13.4]</t>
    <phoneticPr fontId="1" type="noConversion"/>
  </si>
  <si>
    <t>[4.6, 8, 13.1, 14.9]</t>
    <phoneticPr fontId="1" type="noConversion"/>
  </si>
  <si>
    <t>[293.1, 295.1, 295.2, 295.2]</t>
    <phoneticPr fontId="1" type="noConversion"/>
  </si>
  <si>
    <t>[280.9, 281.9, 283.1, 283.2]</t>
    <phoneticPr fontId="1" type="noConversion"/>
  </si>
  <si>
    <t>[14.6, 19, 25.4, 26.9]</t>
    <phoneticPr fontId="1" type="noConversion"/>
  </si>
  <si>
    <t>[25.6, 28.1]</t>
    <phoneticPr fontId="1" type="noConversion"/>
  </si>
  <si>
    <t>[19.2, 24.7]</t>
    <phoneticPr fontId="1" type="noConversion"/>
  </si>
  <si>
    <t>[17.1, 22.1]</t>
    <phoneticPr fontId="1" type="noConversion"/>
  </si>
  <si>
    <t>[7.9, 19.8]</t>
    <phoneticPr fontId="1" type="noConversion"/>
  </si>
  <si>
    <t>[9.7, 20.7]</t>
    <phoneticPr fontId="1" type="noConversion"/>
  </si>
  <si>
    <t>[10.1, 20.7]</t>
    <phoneticPr fontId="1" type="noConversion"/>
  </si>
  <si>
    <t>[211.6, 214.6]</t>
    <phoneticPr fontId="1" type="noConversion"/>
  </si>
  <si>
    <t>[270.6, 272.5]</t>
    <phoneticPr fontId="1" type="noConversion"/>
  </si>
  <si>
    <t>[322.7, 323.4]</t>
    <phoneticPr fontId="1" type="noConversion"/>
  </si>
  <si>
    <t>[2.6, 3, 3.7]</t>
    <phoneticPr fontId="1" type="noConversion"/>
  </si>
  <si>
    <t>[127.9, 128.2, 144.3]</t>
    <phoneticPr fontId="1" type="noConversion"/>
  </si>
  <si>
    <t>[17.6, 31.9, 52.3]</t>
    <phoneticPr fontId="1" type="noConversion"/>
  </si>
  <si>
    <t>[3.2, 5.9, 10, 11.6]</t>
    <phoneticPr fontId="1" type="noConversion"/>
  </si>
  <si>
    <t>[3.6, 6.3, 10.2, 11.7]</t>
    <phoneticPr fontId="1" type="noConversion"/>
  </si>
  <si>
    <t>[3.9, 6.7, 11.3, 12.95]</t>
    <phoneticPr fontId="1" type="noConversion"/>
  </si>
  <si>
    <t>[6.3, 10.3, 14.6, 16.25]</t>
    <phoneticPr fontId="1" type="noConversion"/>
  </si>
  <si>
    <t>[3.4, 6.1, 9.6, 10.8]</t>
    <phoneticPr fontId="1" type="noConversion"/>
  </si>
  <si>
    <t>[244.6, 244.9, 244.6, 245.2]</t>
    <phoneticPr fontId="1" type="noConversion"/>
  </si>
  <si>
    <t>[260, 260.3, 260.4, 263.4]</t>
    <phoneticPr fontId="1" type="noConversion"/>
  </si>
  <si>
    <t>[274.6, 274.9, 279.8, 280]</t>
    <phoneticPr fontId="1" type="noConversion"/>
  </si>
  <si>
    <t>[294.8, 294.7, 295.3, 296.8]</t>
    <phoneticPr fontId="1" type="noConversion"/>
  </si>
  <si>
    <t>[307.5, 309.9, 310.4, 310.5]</t>
    <phoneticPr fontId="1" type="noConversion"/>
  </si>
  <si>
    <t>[18.9, 21, 27.3, 30.4]</t>
    <phoneticPr fontId="1" type="noConversion"/>
  </si>
  <si>
    <t>[13, 15.8, 23.7, 26.9]</t>
    <phoneticPr fontId="1" type="noConversion"/>
  </si>
  <si>
    <t>[19, 22.7, 28, 30.7]</t>
    <phoneticPr fontId="1" type="noConversion"/>
  </si>
  <si>
    <t>[24.3, 28.6, 34.9, 38.6]</t>
    <phoneticPr fontId="1" type="noConversion"/>
  </si>
  <si>
    <t>[25, 28]</t>
    <phoneticPr fontId="1" type="noConversion"/>
  </si>
  <si>
    <t>[21.3, 22.7]</t>
    <phoneticPr fontId="1" type="noConversion"/>
  </si>
  <si>
    <t>[14.4, 19.3]</t>
    <phoneticPr fontId="1" type="noConversion"/>
  </si>
  <si>
    <t>[184, 190.9]</t>
    <phoneticPr fontId="1" type="noConversion"/>
  </si>
  <si>
    <t>[192.4, 198.5]</t>
    <phoneticPr fontId="1" type="noConversion"/>
  </si>
  <si>
    <t>[204.4, 206.7]</t>
    <phoneticPr fontId="1" type="noConversion"/>
  </si>
  <si>
    <t>[222.3, 224]</t>
    <phoneticPr fontId="1" type="noConversion"/>
  </si>
  <si>
    <t>[7.6, 20.5]</t>
    <phoneticPr fontId="1" type="noConversion"/>
  </si>
  <si>
    <t>[6.8, 20.2]</t>
    <phoneticPr fontId="1" type="noConversion"/>
  </si>
  <si>
    <t>[11.2, 23.3]</t>
    <phoneticPr fontId="1" type="noConversion"/>
  </si>
  <si>
    <t>[28.3, 41]</t>
    <phoneticPr fontId="1" type="noConversion"/>
  </si>
  <si>
    <t>[16.8, 20.6, NaN, NaN]</t>
    <phoneticPr fontId="1" type="noConversion"/>
  </si>
  <si>
    <t>[1, 2]</t>
    <phoneticPr fontId="1" type="noConversion"/>
  </si>
  <si>
    <t>[1.3, 3.2]</t>
    <phoneticPr fontId="1" type="noConversion"/>
  </si>
  <si>
    <t>[1.2, 2.8]</t>
    <phoneticPr fontId="1" type="noConversion"/>
  </si>
  <si>
    <t>[1, 2.5]</t>
    <phoneticPr fontId="1" type="noConversion"/>
  </si>
  <si>
    <t>[265.2, 265.2]</t>
    <phoneticPr fontId="1" type="noConversion"/>
  </si>
  <si>
    <t>[263.3, 263.2]</t>
    <phoneticPr fontId="1" type="noConversion"/>
  </si>
  <si>
    <t>[265.5, 265.6]</t>
    <phoneticPr fontId="1" type="noConversion"/>
  </si>
  <si>
    <t>[15.8, 19.1]</t>
    <phoneticPr fontId="1" type="noConversion"/>
  </si>
  <si>
    <t>[16.9, 17.8]</t>
    <phoneticPr fontId="1" type="noConversion"/>
  </si>
  <si>
    <t>[17.3, 19.9]</t>
    <phoneticPr fontId="1" type="noConversion"/>
  </si>
  <si>
    <t>[199.8, 203.7]</t>
    <phoneticPr fontId="1" type="noConversion"/>
  </si>
  <si>
    <t>[189.9, 194.9]</t>
    <phoneticPr fontId="1" type="noConversion"/>
  </si>
  <si>
    <t>[183.5, 187.1]</t>
    <phoneticPr fontId="1" type="noConversion"/>
  </si>
  <si>
    <t>[208.4, 211.6]</t>
    <phoneticPr fontId="1" type="noConversion"/>
  </si>
  <si>
    <t>[245.3, 247]</t>
    <phoneticPr fontId="1" type="noConversion"/>
  </si>
  <si>
    <t>[8.5, 19.8]</t>
    <phoneticPr fontId="1" type="noConversion"/>
  </si>
  <si>
    <t>[8.5, 20.1]</t>
    <phoneticPr fontId="1" type="noConversion"/>
  </si>
  <si>
    <t>[8.8, 15.3]</t>
    <phoneticPr fontId="1" type="noConversion"/>
  </si>
  <si>
    <t>[8.5, 18.8]</t>
    <phoneticPr fontId="1" type="noConversion"/>
  </si>
  <si>
    <t>[19.7, 30.2]</t>
    <phoneticPr fontId="1" type="noConversion"/>
  </si>
  <si>
    <t>[19.7, 23.7]</t>
    <phoneticPr fontId="1" type="noConversion"/>
  </si>
  <si>
    <t>[22.7, 26.6]</t>
    <phoneticPr fontId="1" type="noConversion"/>
  </si>
  <si>
    <t>[26.7, 30.4]</t>
    <phoneticPr fontId="1" type="noConversion"/>
  </si>
  <si>
    <t>[24.6, 28]</t>
    <phoneticPr fontId="1" type="noConversion"/>
  </si>
  <si>
    <t>[7.6, 13.5]</t>
    <phoneticPr fontId="1" type="noConversion"/>
  </si>
  <si>
    <t>[1, 2, 3]</t>
    <phoneticPr fontId="1" type="noConversion"/>
  </si>
  <si>
    <t>[1.7, 3, 4]</t>
    <phoneticPr fontId="1" type="noConversion"/>
  </si>
  <si>
    <t>[1.1, 2, 2.8]</t>
    <phoneticPr fontId="1" type="noConversion"/>
  </si>
  <si>
    <t>[0.4, 0.8, 1.1]</t>
    <phoneticPr fontId="1" type="noConversion"/>
  </si>
  <si>
    <t>[267.8, 267.6, 267.8]</t>
    <phoneticPr fontId="1" type="noConversion"/>
  </si>
  <si>
    <t>[277.5, 279, 279.7]</t>
    <phoneticPr fontId="1" type="noConversion"/>
  </si>
  <si>
    <t>[287.3, 287.3, 287.5]</t>
    <phoneticPr fontId="1" type="noConversion"/>
  </si>
  <si>
    <t>[22.2, 26.4, 30.6]</t>
    <phoneticPr fontId="1" type="noConversion"/>
  </si>
  <si>
    <t>[35, 41, 45.1]</t>
    <phoneticPr fontId="1" type="noConversion"/>
  </si>
  <si>
    <t>[48.2, 54.5, 58.6]</t>
    <phoneticPr fontId="1" type="noConversion"/>
  </si>
  <si>
    <t>[2.8,4.9 ]</t>
    <phoneticPr fontId="1" type="noConversion"/>
  </si>
  <si>
    <t>[300.8, 301.2]</t>
    <phoneticPr fontId="1" type="noConversion"/>
  </si>
  <si>
    <t>[28.3, 35]</t>
    <phoneticPr fontId="1" type="noConversion"/>
  </si>
  <si>
    <t>[11.6, 13.3, 14.4]</t>
    <phoneticPr fontId="1" type="noConversion"/>
  </si>
  <si>
    <t>[200.5, 200.5, 200.5]</t>
    <phoneticPr fontId="1" type="noConversion"/>
  </si>
  <si>
    <t>[5.8, 8, 10.2]</t>
    <phoneticPr fontId="1" type="noConversion"/>
  </si>
  <si>
    <t>[6.8, 11.2]</t>
    <phoneticPr fontId="1" type="noConversion"/>
  </si>
  <si>
    <t>[12.4, 16.9]</t>
    <phoneticPr fontId="1" type="noConversion"/>
  </si>
  <si>
    <t>[15.4, 19.5]</t>
    <phoneticPr fontId="1" type="noConversion"/>
  </si>
  <si>
    <t>[18.4, 21.3]</t>
    <phoneticPr fontId="1" type="noConversion"/>
  </si>
  <si>
    <t>[NaN, 191]</t>
    <phoneticPr fontId="1" type="noConversion"/>
  </si>
  <si>
    <t>[NaN, 202]</t>
    <phoneticPr fontId="1" type="noConversion"/>
  </si>
  <si>
    <t>[NaN, 204]</t>
    <phoneticPr fontId="1" type="noConversion"/>
  </si>
  <si>
    <t>[NaN, 209.4]</t>
    <phoneticPr fontId="1" type="noConversion"/>
  </si>
  <si>
    <t>[NaN, 21.7]</t>
    <phoneticPr fontId="1" type="noConversion"/>
  </si>
  <si>
    <t>[NaN, 21.9]</t>
    <phoneticPr fontId="1" type="noConversion"/>
  </si>
  <si>
    <t>[NaN, 23.6]</t>
    <phoneticPr fontId="1" type="noConversion"/>
  </si>
  <si>
    <t>[NaN, 28.5]</t>
    <phoneticPr fontId="1" type="noConversion"/>
  </si>
  <si>
    <t>[2, 3]</t>
    <phoneticPr fontId="1" type="noConversion"/>
  </si>
  <si>
    <t>[13.6, 15.6]</t>
    <phoneticPr fontId="1" type="noConversion"/>
  </si>
  <si>
    <t>[11, 13.5]</t>
    <phoneticPr fontId="1" type="noConversion"/>
  </si>
  <si>
    <t>[8.7, 11]</t>
    <phoneticPr fontId="1" type="noConversion"/>
  </si>
  <si>
    <t>[25.2, 26]</t>
    <phoneticPr fontId="1" type="noConversion"/>
  </si>
  <si>
    <t>[307.6, 307.5]</t>
    <phoneticPr fontId="1" type="noConversion"/>
  </si>
  <si>
    <t>[285.5, 284.9]</t>
    <phoneticPr fontId="1" type="noConversion"/>
  </si>
  <si>
    <t>[272.4, 272.1]</t>
    <phoneticPr fontId="1" type="noConversion"/>
  </si>
  <si>
    <t>[165.9, 165.9]</t>
    <phoneticPr fontId="1" type="noConversion"/>
  </si>
  <si>
    <t>[9.6, 15]</t>
    <phoneticPr fontId="1" type="noConversion"/>
  </si>
  <si>
    <t>[12.3, 15]</t>
    <phoneticPr fontId="1" type="noConversion"/>
  </si>
  <si>
    <t>[15, 19.9]</t>
    <phoneticPr fontId="1" type="noConversion"/>
  </si>
  <si>
    <t>[5.5, 10.4]</t>
    <phoneticPr fontId="1" type="noConversion"/>
  </si>
  <si>
    <t>[4.1, 8.2]</t>
    <phoneticPr fontId="1" type="noConversion"/>
  </si>
  <si>
    <t>[306.6, 308.7]</t>
    <phoneticPr fontId="1" type="noConversion"/>
  </si>
  <si>
    <t>[297.4, 300.1]</t>
    <phoneticPr fontId="1" type="noConversion"/>
  </si>
  <si>
    <t>[33.5, 43.9]</t>
    <phoneticPr fontId="1" type="noConversion"/>
  </si>
  <si>
    <t>[17.2, 19.1, 19.8]</t>
    <phoneticPr fontId="1" type="noConversion"/>
  </si>
  <si>
    <t>[8.3, 10.3, 12.4]</t>
    <phoneticPr fontId="1" type="noConversion"/>
  </si>
  <si>
    <t>[4.8, 6.4, 8.1]</t>
    <phoneticPr fontId="1" type="noConversion"/>
  </si>
  <si>
    <t>[202.1, 202.1, 202]</t>
    <phoneticPr fontId="1" type="noConversion"/>
  </si>
  <si>
    <t>[224.1, 224, 226]</t>
    <phoneticPr fontId="1" type="noConversion"/>
  </si>
  <si>
    <t>[245, 247, 247]</t>
    <phoneticPr fontId="1" type="noConversion"/>
  </si>
  <si>
    <t>[2.5, 3.6, 5.4]</t>
    <phoneticPr fontId="1" type="noConversion"/>
  </si>
  <si>
    <t>[6.7, 8.6, 9.8]</t>
    <phoneticPr fontId="1" type="noConversion"/>
  </si>
  <si>
    <t>[11.6, 13.7, 14.9]</t>
    <phoneticPr fontId="1" type="noConversion"/>
  </si>
  <si>
    <t>[2.6, 3.6, 4.6]</t>
    <phoneticPr fontId="1" type="noConversion"/>
  </si>
  <si>
    <t>[280.5, 280.6, 280.6]</t>
    <phoneticPr fontId="1" type="noConversion"/>
  </si>
  <si>
    <t>[3.6, 7.3]</t>
    <phoneticPr fontId="1" type="noConversion"/>
  </si>
  <si>
    <t>[315.9, 316.8]</t>
    <phoneticPr fontId="1" type="noConversion"/>
  </si>
  <si>
    <t>[48, NaN]</t>
    <phoneticPr fontId="1" type="noConversion"/>
  </si>
  <si>
    <t>[298.1, 298]</t>
    <phoneticPr fontId="1" type="noConversion"/>
  </si>
  <si>
    <t>[41.8, 58.5]</t>
    <phoneticPr fontId="1" type="noConversion"/>
  </si>
  <si>
    <t>[4.6, 9.4]</t>
    <phoneticPr fontId="1" type="noConversion"/>
  </si>
  <si>
    <t>[4.7, 8.1, 12.8, 14.6]</t>
    <phoneticPr fontId="1" type="noConversion"/>
  </si>
  <si>
    <t>[3.15, 5.75, 9.7, 11.2]</t>
    <phoneticPr fontId="1" type="noConversion"/>
  </si>
  <si>
    <t>[2.5, 4.6, 7.9, 9.2]</t>
    <phoneticPr fontId="1" type="noConversion"/>
  </si>
  <si>
    <t>[268.1, 269.6, 271.7, 272.1]</t>
    <phoneticPr fontId="1" type="noConversion"/>
  </si>
  <si>
    <t>[267.1, 268.2, 270.1, 270.3]</t>
    <phoneticPr fontId="1" type="noConversion"/>
  </si>
  <si>
    <t>[271, 271.2, 272.3, 273.1]</t>
    <phoneticPr fontId="1" type="noConversion"/>
  </si>
  <si>
    <t>[14.3, 18.4, 25.9, 29.3]</t>
    <phoneticPr fontId="1" type="noConversion"/>
  </si>
  <si>
    <t>[18.5, 23.1, 29.3, 32.5]</t>
    <phoneticPr fontId="1" type="noConversion"/>
  </si>
  <si>
    <t>[20.8, 25.5, 32.9, 36.5]</t>
    <phoneticPr fontId="1" type="noConversion"/>
  </si>
  <si>
    <t>[10.7, 13.3, 15.3, 17.25]</t>
    <phoneticPr fontId="1" type="noConversion"/>
  </si>
  <si>
    <t>[5.2, 9.5, 13.7, 21.9]</t>
    <phoneticPr fontId="1" type="noConversion"/>
  </si>
  <si>
    <t>[3.4, 6.65, 10.48, 11.8]</t>
    <phoneticPr fontId="1" type="noConversion"/>
  </si>
  <si>
    <t>[3.6, 6.4, 10.1, 11.7]</t>
    <phoneticPr fontId="1" type="noConversion"/>
  </si>
  <si>
    <t>[20.9, 23.7]</t>
    <phoneticPr fontId="1" type="noConversion"/>
  </si>
  <si>
    <t>[7.8, 13.7]</t>
    <phoneticPr fontId="1" type="noConversion"/>
  </si>
  <si>
    <t>[29.3, 32]</t>
    <phoneticPr fontId="1" type="noConversion"/>
  </si>
  <si>
    <t>[206.9, 206.8, 207.2, 209.1]</t>
    <phoneticPr fontId="1" type="noConversion"/>
  </si>
  <si>
    <t>[276, 277.6, 278.2, 278.1]</t>
    <phoneticPr fontId="1" type="noConversion"/>
  </si>
  <si>
    <t>[1, 5]</t>
    <phoneticPr fontId="1" type="noConversion"/>
  </si>
  <si>
    <t>[203.1, 208.4]</t>
    <phoneticPr fontId="1" type="noConversion"/>
  </si>
  <si>
    <t>[253.4, 253.1]</t>
    <phoneticPr fontId="1" type="noConversion"/>
  </si>
  <si>
    <t>[300, 302]</t>
    <phoneticPr fontId="1" type="noConversion"/>
  </si>
  <si>
    <t>[9.5, 23]</t>
    <phoneticPr fontId="1" type="noConversion"/>
  </si>
  <si>
    <t>[15.2, 31.5]</t>
    <phoneticPr fontId="1" type="noConversion"/>
  </si>
  <si>
    <t>[32, 43.8]</t>
    <phoneticPr fontId="1" type="noConversion"/>
  </si>
  <si>
    <t>[8.6, 15]</t>
    <phoneticPr fontId="1" type="noConversion"/>
  </si>
  <si>
    <t>[9.8, 15.1]</t>
    <phoneticPr fontId="1" type="noConversion"/>
  </si>
  <si>
    <t>[11.1, 16.5]</t>
    <phoneticPr fontId="1" type="noConversion"/>
  </si>
  <si>
    <t>[NaN, 249.1]</t>
    <phoneticPr fontId="1" type="noConversion"/>
  </si>
  <si>
    <t>[NaN, 282.2]</t>
    <phoneticPr fontId="1" type="noConversion"/>
  </si>
  <si>
    <t>[NaN, 299.3]</t>
    <phoneticPr fontId="1" type="noConversion"/>
  </si>
  <si>
    <t>[NaN, 24.4]</t>
    <phoneticPr fontId="1" type="noConversion"/>
  </si>
  <si>
    <t>[NaN, 23.3]</t>
    <phoneticPr fontId="1" type="noConversion"/>
  </si>
  <si>
    <t>[NaN, 19.3]</t>
    <phoneticPr fontId="1" type="noConversion"/>
  </si>
  <si>
    <t>[0.6, 1.35, 2, 3.5]</t>
    <phoneticPr fontId="1" type="noConversion"/>
  </si>
  <si>
    <t>[191, 192.9, 195.1, 197.4]</t>
    <phoneticPr fontId="1" type="noConversion"/>
  </si>
  <si>
    <t>[2.9, 8.1, 12.2, 20.4]</t>
    <phoneticPr fontId="1" type="noConversion"/>
  </si>
  <si>
    <t>[5.9, 8.1]</t>
    <phoneticPr fontId="1" type="noConversion"/>
  </si>
  <si>
    <t>[5, 6.8]</t>
    <phoneticPr fontId="1" type="noConversion"/>
  </si>
  <si>
    <t>[6, 7.9]</t>
    <phoneticPr fontId="1" type="noConversion"/>
  </si>
  <si>
    <t>[286.6, 287.9]</t>
    <phoneticPr fontId="1" type="noConversion"/>
  </si>
  <si>
    <t>[291.4, 291]</t>
    <phoneticPr fontId="1" type="noConversion"/>
  </si>
  <si>
    <t>[293.3, 293.3]</t>
    <phoneticPr fontId="1" type="noConversion"/>
  </si>
  <si>
    <t>[29.1, 32.2]</t>
    <phoneticPr fontId="1" type="noConversion"/>
  </si>
  <si>
    <t>[32.9, 38.4]</t>
    <phoneticPr fontId="1" type="noConversion"/>
  </si>
  <si>
    <t>[27.2, 33.3]</t>
    <phoneticPr fontId="1" type="noConversion"/>
  </si>
  <si>
    <t>[16.5, 25]</t>
    <phoneticPr fontId="1" type="noConversion"/>
  </si>
  <si>
    <t>[6.5, 11.2]</t>
    <phoneticPr fontId="1" type="noConversion"/>
  </si>
  <si>
    <t>[3.8, 7]</t>
    <phoneticPr fontId="1" type="noConversion"/>
  </si>
  <si>
    <t>[24.4, 32.7]</t>
    <phoneticPr fontId="1" type="noConversion"/>
  </si>
  <si>
    <t>[205.2, 217]</t>
    <phoneticPr fontId="1" type="noConversion"/>
  </si>
  <si>
    <t>[219.4, 229.6]</t>
    <phoneticPr fontId="1" type="noConversion"/>
  </si>
  <si>
    <t>[204.3, 237.3]</t>
    <phoneticPr fontId="1" type="noConversion"/>
  </si>
  <si>
    <t>[227.3, 238.8]</t>
    <phoneticPr fontId="1" type="noConversion"/>
  </si>
  <si>
    <t>[9.3, 16.2]</t>
    <phoneticPr fontId="1" type="noConversion"/>
  </si>
  <si>
    <t>[24.3, 35.9]</t>
    <phoneticPr fontId="1" type="noConversion"/>
  </si>
  <si>
    <t>[5.8, 9.3]</t>
    <phoneticPr fontId="1" type="noConversion"/>
  </si>
  <si>
    <t>[43.2, NaN]</t>
    <phoneticPr fontId="1" type="noConversion"/>
  </si>
  <si>
    <t>[283.6, 287]</t>
    <phoneticPr fontId="1" type="noConversion"/>
  </si>
  <si>
    <t>[309, 312]</t>
    <phoneticPr fontId="1" type="noConversion"/>
  </si>
  <si>
    <t>[331.9, 335.9]</t>
    <phoneticPr fontId="1" type="noConversion"/>
  </si>
  <si>
    <t>[9.5, 19.6]</t>
    <phoneticPr fontId="1" type="noConversion"/>
  </si>
  <si>
    <t>[10.6, 22]</t>
    <phoneticPr fontId="1" type="noConversion"/>
  </si>
  <si>
    <t>[12.2, 24.1]</t>
    <phoneticPr fontId="1" type="noConversion"/>
  </si>
  <si>
    <t>[7, 13.5]</t>
    <phoneticPr fontId="1" type="noConversion"/>
  </si>
  <si>
    <t>[NaN, 192.8]</t>
    <phoneticPr fontId="1" type="noConversion"/>
  </si>
  <si>
    <t>[NaN, 197.1]</t>
    <phoneticPr fontId="1" type="noConversion"/>
  </si>
  <si>
    <t>[NaN, 200.2]</t>
    <phoneticPr fontId="1" type="noConversion"/>
  </si>
  <si>
    <t>[NaN, 204.3]</t>
    <phoneticPr fontId="1" type="noConversion"/>
  </si>
  <si>
    <t>[NaN, 201.4]</t>
    <phoneticPr fontId="1" type="noConversion"/>
  </si>
  <si>
    <t>[NaN, 210]</t>
    <phoneticPr fontId="1" type="noConversion"/>
  </si>
  <si>
    <t>[NaN, 213.8]</t>
    <phoneticPr fontId="1" type="noConversion"/>
  </si>
  <si>
    <t>[NaN, 223.1]</t>
    <phoneticPr fontId="1" type="noConversion"/>
  </si>
  <si>
    <t>[NaN, 232.5]</t>
    <phoneticPr fontId="1" type="noConversion"/>
  </si>
  <si>
    <t>[NaN, 22.7]</t>
    <phoneticPr fontId="1" type="noConversion"/>
  </si>
  <si>
    <t>[NaN, 22]</t>
    <phoneticPr fontId="1" type="noConversion"/>
  </si>
  <si>
    <t>[NaN, 17.8]</t>
    <phoneticPr fontId="1" type="noConversion"/>
  </si>
  <si>
    <t>[NaN, 20.9]</t>
    <phoneticPr fontId="1" type="noConversion"/>
  </si>
  <si>
    <t>[NaN, 23]</t>
    <phoneticPr fontId="1" type="noConversion"/>
  </si>
  <si>
    <t>[NaN, 24.1]</t>
    <phoneticPr fontId="1" type="noConversion"/>
  </si>
  <si>
    <t>[NaN, 32.4]</t>
    <phoneticPr fontId="1" type="noConversion"/>
  </si>
  <si>
    <t>[NaN, 37.3]</t>
    <phoneticPr fontId="1" type="noConversion"/>
  </si>
  <si>
    <t>[21.2, 27.8]</t>
    <phoneticPr fontId="1" type="noConversion"/>
  </si>
  <si>
    <t>[25.4, 29.2]</t>
    <phoneticPr fontId="1" type="noConversion"/>
  </si>
  <si>
    <t>[22.9, 26]</t>
    <phoneticPr fontId="1" type="noConversion"/>
  </si>
  <si>
    <t>[20.8, 24.7]</t>
    <phoneticPr fontId="1" type="noConversion"/>
  </si>
  <si>
    <t>[20.8, 24.8]</t>
    <phoneticPr fontId="1" type="noConversion"/>
  </si>
  <si>
    <t>[21, 23.7]</t>
    <phoneticPr fontId="1" type="noConversion"/>
  </si>
  <si>
    <t>[21.9, 24.6]</t>
    <phoneticPr fontId="1" type="noConversion"/>
  </si>
  <si>
    <t>[14.2, 18.7]</t>
    <phoneticPr fontId="1" type="noConversion"/>
  </si>
  <si>
    <t>[11.9, 17.6]</t>
    <phoneticPr fontId="1" type="noConversion"/>
  </si>
  <si>
    <t>[7.5, 13]</t>
    <phoneticPr fontId="1" type="noConversion"/>
  </si>
  <si>
    <t>[4, 7.9]</t>
    <phoneticPr fontId="1" type="noConversion"/>
  </si>
  <si>
    <t>[NaN, 20.3]</t>
    <phoneticPr fontId="1" type="noConversion"/>
  </si>
  <si>
    <t>[NaN, 183.5]</t>
    <phoneticPr fontId="1" type="noConversion"/>
  </si>
  <si>
    <t>[24, 26.1]</t>
    <phoneticPr fontId="1" type="noConversion"/>
  </si>
  <si>
    <t>[26, 28.3]</t>
    <phoneticPr fontId="1" type="noConversion"/>
  </si>
  <si>
    <t>[28, 30.5]</t>
    <phoneticPr fontId="1" type="noConversion"/>
  </si>
  <si>
    <t>[29, 31.5]</t>
    <phoneticPr fontId="1" type="noConversion"/>
  </si>
  <si>
    <t>[30, 32.4]</t>
    <phoneticPr fontId="1" type="noConversion"/>
  </si>
  <si>
    <t>[23, 25.9]</t>
    <phoneticPr fontId="1" type="noConversion"/>
  </si>
  <si>
    <t>[24, 27.1]</t>
    <phoneticPr fontId="1" type="noConversion"/>
  </si>
  <si>
    <t>[29, 32]</t>
    <phoneticPr fontId="1" type="noConversion"/>
  </si>
  <si>
    <t>[NaN, 27.9]</t>
    <phoneticPr fontId="1" type="noConversion"/>
  </si>
  <si>
    <t>[NaN, 289.3]</t>
    <phoneticPr fontId="1" type="noConversion"/>
  </si>
  <si>
    <t>[18, 22.8]</t>
    <phoneticPr fontId="1" type="noConversion"/>
  </si>
  <si>
    <t>[7.4, 12.7]</t>
    <phoneticPr fontId="1" type="noConversion"/>
  </si>
  <si>
    <t>[225.5, 227.3]</t>
    <phoneticPr fontId="1" type="noConversion"/>
  </si>
  <si>
    <t>[250.1, 251.9]</t>
    <phoneticPr fontId="1" type="noConversion"/>
  </si>
  <si>
    <t>[10, 21.8]</t>
    <phoneticPr fontId="1" type="noConversion"/>
  </si>
  <si>
    <t>[21.2, 30.6]</t>
    <phoneticPr fontId="1" type="noConversion"/>
  </si>
  <si>
    <t>[209, 209.1]</t>
    <phoneticPr fontId="1" type="noConversion"/>
  </si>
  <si>
    <t>[8.8, 19.6]</t>
    <phoneticPr fontId="1" type="noConversion"/>
  </si>
  <si>
    <t>[7.2, 13.6]</t>
    <phoneticPr fontId="1" type="noConversion"/>
  </si>
  <si>
    <t>[7.4, 14.2]</t>
    <phoneticPr fontId="1" type="noConversion"/>
  </si>
  <si>
    <t>[21.9, 25.3, 29.3, 30.95]</t>
    <phoneticPr fontId="1" type="noConversion"/>
  </si>
  <si>
    <t>[2.7, 5.2, 8.8, 10.3]</t>
    <phoneticPr fontId="1" type="noConversion"/>
  </si>
  <si>
    <t>[195.1, 198.1, 201, 201.3]</t>
    <phoneticPr fontId="1" type="noConversion"/>
  </si>
  <si>
    <t>[236, 237.1, 240, 240.1]</t>
    <phoneticPr fontId="1" type="noConversion"/>
  </si>
  <si>
    <t>[4.6, 9.3, 16.7, 20.4]</t>
    <phoneticPr fontId="1" type="noConversion"/>
  </si>
  <si>
    <t>[25.4, 29.4, 35.6, 39]</t>
    <phoneticPr fontId="1" type="noConversion"/>
  </si>
  <si>
    <t>[1, 3, 5]</t>
    <phoneticPr fontId="1" type="noConversion"/>
  </si>
  <si>
    <t>[8.4, 16.6, 20.4]</t>
    <phoneticPr fontId="1" type="noConversion"/>
  </si>
  <si>
    <t>[2.65, 6.8, 10.1]</t>
    <phoneticPr fontId="1" type="noConversion"/>
  </si>
  <si>
    <t>[224.6, 224.5, 224.5]</t>
    <phoneticPr fontId="1" type="noConversion"/>
  </si>
  <si>
    <t>[277.5, 277.5, 280.5]</t>
    <phoneticPr fontId="1" type="noConversion"/>
  </si>
  <si>
    <t>[26.7, 26.3, 38]</t>
    <phoneticPr fontId="1" type="noConversion"/>
  </si>
  <si>
    <t>[7.8, 14.5, NaN]</t>
    <phoneticPr fontId="1" type="noConversion"/>
  </si>
  <si>
    <t>[6.2, 11.5]</t>
    <phoneticPr fontId="1" type="noConversion"/>
  </si>
  <si>
    <t>[7.4, 13]</t>
    <phoneticPr fontId="1" type="noConversion"/>
  </si>
  <si>
    <t>[220.9, 223]</t>
    <phoneticPr fontId="1" type="noConversion"/>
  </si>
  <si>
    <t>[240.5, 242.8]</t>
    <phoneticPr fontId="1" type="noConversion"/>
  </si>
  <si>
    <t>[292.3, 294.3]</t>
    <phoneticPr fontId="1" type="noConversion"/>
  </si>
  <si>
    <t>[20.6, 32.8]</t>
    <phoneticPr fontId="1" type="noConversion"/>
  </si>
  <si>
    <t>[27.2, 36.2]</t>
    <phoneticPr fontId="1" type="noConversion"/>
  </si>
  <si>
    <t>[49.4, 60.9]</t>
    <phoneticPr fontId="1" type="noConversion"/>
  </si>
  <si>
    <t>[16.1, 20.2]</t>
    <phoneticPr fontId="1" type="noConversion"/>
  </si>
  <si>
    <t>[198.2, 201.1]</t>
    <phoneticPr fontId="1" type="noConversion"/>
  </si>
  <si>
    <t>[1.2, 2]</t>
    <phoneticPr fontId="1" type="noConversion"/>
  </si>
  <si>
    <t>[2.2, 3.5]</t>
    <phoneticPr fontId="1" type="noConversion"/>
  </si>
  <si>
    <t>[2.9, 4.4]</t>
    <phoneticPr fontId="1" type="noConversion"/>
  </si>
  <si>
    <t>[187.7, 189]</t>
    <phoneticPr fontId="1" type="noConversion"/>
  </si>
  <si>
    <t>[195.3, 197]</t>
    <phoneticPr fontId="1" type="noConversion"/>
  </si>
  <si>
    <t>[179.2, 179.2]</t>
    <phoneticPr fontId="1" type="noConversion"/>
  </si>
  <si>
    <t>[23.7, 27.7]</t>
    <phoneticPr fontId="1" type="noConversion"/>
  </si>
  <si>
    <t>[5.8, 10.6]</t>
    <phoneticPr fontId="1" type="noConversion"/>
  </si>
  <si>
    <t>[197.8, 202.6]</t>
    <phoneticPr fontId="1" type="noConversion"/>
  </si>
  <si>
    <t>[35.5, 53.6]</t>
    <phoneticPr fontId="1" type="noConversion"/>
  </si>
  <si>
    <t>[7.1, 13.6]</t>
    <phoneticPr fontId="1" type="noConversion"/>
  </si>
  <si>
    <t>[283.9, 285]</t>
    <phoneticPr fontId="1" type="noConversion"/>
  </si>
  <si>
    <t>[279, 278.9]</t>
    <phoneticPr fontId="1" type="noConversion"/>
  </si>
  <si>
    <t>[270.9, 273]</t>
    <phoneticPr fontId="1" type="noConversion"/>
  </si>
  <si>
    <t>[273, 275.1]</t>
    <phoneticPr fontId="1" type="noConversion"/>
  </si>
  <si>
    <t>[25.5, 35.1]</t>
    <phoneticPr fontId="1" type="noConversion"/>
  </si>
  <si>
    <t>[24.4, 35.1]</t>
    <phoneticPr fontId="1" type="noConversion"/>
  </si>
  <si>
    <t>[22.7, 32.2]</t>
    <phoneticPr fontId="1" type="noConversion"/>
  </si>
  <si>
    <t>[21.8, 31.6]</t>
    <phoneticPr fontId="1" type="noConversion"/>
  </si>
  <si>
    <t>[4.8, 9.4]</t>
    <phoneticPr fontId="1" type="noConversion"/>
  </si>
  <si>
    <t>[4.3, 8.4]</t>
    <phoneticPr fontId="1" type="noConversion"/>
  </si>
  <si>
    <t>[197.8, 202.8]</t>
    <phoneticPr fontId="1" type="noConversion"/>
  </si>
  <si>
    <t>[237.5, 242.2]</t>
    <phoneticPr fontId="1" type="noConversion"/>
  </si>
  <si>
    <t>[277.6, 277.6]</t>
    <phoneticPr fontId="1" type="noConversion"/>
  </si>
  <si>
    <t>[307.6, 307.7]</t>
    <phoneticPr fontId="1" type="noConversion"/>
  </si>
  <si>
    <t>[36.4, 53.3]</t>
    <phoneticPr fontId="1" type="noConversion"/>
  </si>
  <si>
    <t>[40.5, 56]</t>
    <phoneticPr fontId="1" type="noConversion"/>
  </si>
  <si>
    <t>[47.2, 62.7]</t>
    <phoneticPr fontId="1" type="noConversion"/>
  </si>
  <si>
    <t>[54.6, 75.6]</t>
    <phoneticPr fontId="1" type="noConversion"/>
  </si>
  <si>
    <t>[11.9, 18.4, 20.3]</t>
    <phoneticPr fontId="1" type="noConversion"/>
  </si>
  <si>
    <t>[7.7, 16.3, 19.8]</t>
    <phoneticPr fontId="1" type="noConversion"/>
  </si>
  <si>
    <t>[200, 201.7, 205.8]</t>
    <phoneticPr fontId="1" type="noConversion"/>
  </si>
  <si>
    <t>[202.9, 206.1, 209]</t>
    <phoneticPr fontId="1" type="noConversion"/>
  </si>
  <si>
    <t>[5.5, 13.5, 21.4]</t>
    <phoneticPr fontId="1" type="noConversion"/>
  </si>
  <si>
    <t>[9.3, 16.4, 23.2]</t>
    <phoneticPr fontId="1" type="noConversion"/>
  </si>
  <si>
    <t>[5.5, 9.5]</t>
    <phoneticPr fontId="1" type="noConversion"/>
  </si>
  <si>
    <t>[5.8, 10.8]</t>
    <phoneticPr fontId="1" type="noConversion"/>
  </si>
  <si>
    <t>[5.1, 10.1]</t>
    <phoneticPr fontId="1" type="noConversion"/>
  </si>
  <si>
    <t>[5.4, 10.1]</t>
    <phoneticPr fontId="1" type="noConversion"/>
  </si>
  <si>
    <t>[6.1, 11.6]</t>
    <phoneticPr fontId="1" type="noConversion"/>
  </si>
  <si>
    <t>[6.7, 12.3]</t>
    <phoneticPr fontId="1" type="noConversion"/>
  </si>
  <si>
    <t>[6.7, 11.9]</t>
    <phoneticPr fontId="1" type="noConversion"/>
  </si>
  <si>
    <t>[7.4, 13.4]</t>
    <phoneticPr fontId="1" type="noConversion"/>
  </si>
  <si>
    <t>[8.5, 13.8]</t>
    <phoneticPr fontId="1" type="noConversion"/>
  </si>
  <si>
    <t>[182.5, 185.3]</t>
    <phoneticPr fontId="1" type="noConversion"/>
  </si>
  <si>
    <t>[309.4, 310.9]</t>
    <phoneticPr fontId="1" type="noConversion"/>
  </si>
  <si>
    <t>[262, 262.1]</t>
    <phoneticPr fontId="1" type="noConversion"/>
  </si>
  <si>
    <t>[218.5, 218.4]</t>
    <phoneticPr fontId="1" type="noConversion"/>
  </si>
  <si>
    <t>[297.1, 298.9]</t>
    <phoneticPr fontId="1" type="noConversion"/>
  </si>
  <si>
    <t>[249.4, 253.4]</t>
    <phoneticPr fontId="1" type="noConversion"/>
  </si>
  <si>
    <t>[223.2, 228]</t>
    <phoneticPr fontId="1" type="noConversion"/>
  </si>
  <si>
    <t>[253.7, 256.4]</t>
    <phoneticPr fontId="1" type="noConversion"/>
  </si>
  <si>
    <t>[237.4, 237.5]</t>
    <phoneticPr fontId="1" type="noConversion"/>
  </si>
  <si>
    <t>[211.7, 211.5]</t>
    <phoneticPr fontId="1" type="noConversion"/>
  </si>
  <si>
    <t>[30.1, 48.6]</t>
    <phoneticPr fontId="1" type="noConversion"/>
  </si>
  <si>
    <t>[26, 40.5]</t>
    <phoneticPr fontId="1" type="noConversion"/>
  </si>
  <si>
    <t>[31.2, 45.1]</t>
    <phoneticPr fontId="1" type="noConversion"/>
  </si>
  <si>
    <t>[28.3, 44.5]</t>
    <phoneticPr fontId="1" type="noConversion"/>
  </si>
  <si>
    <t>[35.7, 51.3]</t>
    <phoneticPr fontId="1" type="noConversion"/>
  </si>
  <si>
    <t>[31.8, 46]</t>
    <phoneticPr fontId="1" type="noConversion"/>
  </si>
  <si>
    <t>[27.9, 39.1]</t>
    <phoneticPr fontId="1" type="noConversion"/>
  </si>
  <si>
    <t>[28.9, 44.1]</t>
    <phoneticPr fontId="1" type="noConversion"/>
  </si>
  <si>
    <t>[24, 36.7]</t>
    <phoneticPr fontId="1" type="noConversion"/>
  </si>
  <si>
    <t>[20.1, 34.8]</t>
    <phoneticPr fontId="1" type="noConversion"/>
  </si>
  <si>
    <t>[3.4, 4.2, 6.6, 7.8]</t>
    <phoneticPr fontId="1" type="noConversion"/>
  </si>
  <si>
    <t>[5.7, 9.2, 12.2, 13.5]</t>
    <phoneticPr fontId="1" type="noConversion"/>
  </si>
  <si>
    <t>[2.6, 4.5, 7.5, 8.8]</t>
    <phoneticPr fontId="1" type="noConversion"/>
  </si>
  <si>
    <t>[4.3, 7.7, 12.6, 14.4]</t>
    <phoneticPr fontId="1" type="noConversion"/>
  </si>
  <si>
    <t>[5.2, 9.2, 14.8, 16.9]</t>
    <phoneticPr fontId="1" type="noConversion"/>
  </si>
  <si>
    <t>[6.6, 11.1, 16.4, 18.5]</t>
    <phoneticPr fontId="1" type="noConversion"/>
  </si>
  <si>
    <t>[140.8, 144.8, 163.1, 168.8]</t>
    <phoneticPr fontId="1" type="noConversion"/>
  </si>
  <si>
    <t>[180.8, 180.9, 184.8, 184.8]</t>
    <phoneticPr fontId="1" type="noConversion"/>
  </si>
  <si>
    <t>[289, 290.8, 291.1, 292.9]</t>
    <phoneticPr fontId="1" type="noConversion"/>
  </si>
  <si>
    <t>[281.4, 283.1, 282.9, 283]</t>
    <phoneticPr fontId="1" type="noConversion"/>
  </si>
  <si>
    <t>[279, 281.1, 280.9, 280.9]</t>
    <phoneticPr fontId="1" type="noConversion"/>
  </si>
  <si>
    <t>[277.1, 277, 279, 281]</t>
    <phoneticPr fontId="1" type="noConversion"/>
  </si>
  <si>
    <t>[22.8, 38.2, 66, 71.4]</t>
    <phoneticPr fontId="1" type="noConversion"/>
  </si>
  <si>
    <t>[12.7, 18.1, 31.1, 35.9]</t>
    <phoneticPr fontId="1" type="noConversion"/>
  </si>
  <si>
    <t>[31.6, 39.2, 47.6, 51.4]</t>
    <phoneticPr fontId="1" type="noConversion"/>
  </si>
  <si>
    <t>[21.6, 26.6, 34.2, 38.1]</t>
    <phoneticPr fontId="1" type="noConversion"/>
  </si>
  <si>
    <t>[17.4, 21.4, 28.9, 31.9]</t>
    <phoneticPr fontId="1" type="noConversion"/>
  </si>
  <si>
    <t>[13, 16.4, 23.8, 27.1]</t>
    <phoneticPr fontId="1" type="noConversion"/>
  </si>
  <si>
    <t>[3.3, 6.1, 9.7, 10.9]</t>
    <phoneticPr fontId="1" type="noConversion"/>
  </si>
  <si>
    <t>[5.8, 9.5, 13.9, 15.7]</t>
    <phoneticPr fontId="1" type="noConversion"/>
  </si>
  <si>
    <t>[260.3, 260.3, 260.3, 260.2]</t>
    <phoneticPr fontId="1" type="noConversion"/>
  </si>
  <si>
    <t>[265.3, 265.2, 265, 265.2]</t>
    <phoneticPr fontId="1" type="noConversion"/>
  </si>
  <si>
    <t>[11.4, 14.7, 22.3, 25.2]</t>
    <phoneticPr fontId="1" type="noConversion"/>
  </si>
  <si>
    <t>[18.2, 20.5, 27.2, 30.6]</t>
    <phoneticPr fontId="1" type="noConversion"/>
  </si>
  <si>
    <t>[2.5, 6.6, 9.4]</t>
    <phoneticPr fontId="1" type="noConversion"/>
  </si>
  <si>
    <t>[2.3, 6.1, 8.9]</t>
    <phoneticPr fontId="1" type="noConversion"/>
  </si>
  <si>
    <t>[2.2, 5.6, 8.2]</t>
    <phoneticPr fontId="1" type="noConversion"/>
  </si>
  <si>
    <t>[212.4, 217.2, 218.4]</t>
    <phoneticPr fontId="1" type="noConversion"/>
  </si>
  <si>
    <t>[247.2, 247.2, 248.6]</t>
    <phoneticPr fontId="1" type="noConversion"/>
  </si>
  <si>
    <t>[262.2, 262.4, 263.3]</t>
    <phoneticPr fontId="1" type="noConversion"/>
  </si>
  <si>
    <t>[32.9, 43.6, 53.2]</t>
    <phoneticPr fontId="1" type="noConversion"/>
  </si>
  <si>
    <t>[10.9, 12.3]</t>
    <phoneticPr fontId="1" type="noConversion"/>
  </si>
  <si>
    <t>[19.9, 21.6]</t>
    <phoneticPr fontId="1" type="noConversion"/>
  </si>
  <si>
    <t>[204.5, 204.6]</t>
    <phoneticPr fontId="1" type="noConversion"/>
  </si>
  <si>
    <t>[213.1, 214.1]</t>
    <phoneticPr fontId="1" type="noConversion"/>
  </si>
  <si>
    <t>[218.5, 218.5]</t>
    <phoneticPr fontId="1" type="noConversion"/>
  </si>
  <si>
    <t>[8.7, 12.3]</t>
    <phoneticPr fontId="1" type="noConversion"/>
  </si>
  <si>
    <t>[11.1, 19.6, 21]</t>
    <phoneticPr fontId="1" type="noConversion"/>
  </si>
  <si>
    <t>[11.8, 20.6, 22.2]</t>
    <phoneticPr fontId="1" type="noConversion"/>
  </si>
  <si>
    <t>[184.8, 187.5, 187.4]</t>
    <phoneticPr fontId="1" type="noConversion"/>
  </si>
  <si>
    <t>[185, 187.7, 187.5]</t>
    <phoneticPr fontId="1" type="noConversion"/>
  </si>
  <si>
    <t>[6.1, 9, 12.7]</t>
    <phoneticPr fontId="1" type="noConversion"/>
  </si>
  <si>
    <t>[6, 8.9, 12.5]</t>
    <phoneticPr fontId="1" type="noConversion"/>
  </si>
  <si>
    <t>[16.5, 18]</t>
    <phoneticPr fontId="1" type="noConversion"/>
  </si>
  <si>
    <t>[19, 20.4]</t>
    <phoneticPr fontId="1" type="noConversion"/>
  </si>
  <si>
    <t>[173.5, 176.3]</t>
    <phoneticPr fontId="1" type="noConversion"/>
  </si>
  <si>
    <t>[338.4, 340.4]</t>
    <phoneticPr fontId="1" type="noConversion"/>
  </si>
  <si>
    <t>[1.4, 5.3, 12.2]</t>
    <phoneticPr fontId="1" type="noConversion"/>
  </si>
  <si>
    <t>[0.5, 1, 2]</t>
    <phoneticPr fontId="1" type="noConversion"/>
  </si>
  <si>
    <t>[4, 6.5, 10.7]</t>
    <phoneticPr fontId="1" type="noConversion"/>
  </si>
  <si>
    <t>[6.7, 9.7, 13.2]</t>
    <phoneticPr fontId="1" type="noConversion"/>
  </si>
  <si>
    <t>[3.9, 6.5, 7.7, 8.6]</t>
    <phoneticPr fontId="1" type="noConversion"/>
  </si>
  <si>
    <t>[7.5, 10.7]</t>
    <phoneticPr fontId="1" type="noConversion"/>
  </si>
  <si>
    <t>[NaN, 183.8]</t>
    <phoneticPr fontId="1" type="noConversion"/>
  </si>
  <si>
    <t>[8.1, 12.1]</t>
    <phoneticPr fontId="1" type="noConversion"/>
  </si>
  <si>
    <t>[6, 10.7]</t>
    <phoneticPr fontId="1" type="noConversion"/>
  </si>
  <si>
    <t>[6.2, 11.1]</t>
    <phoneticPr fontId="1" type="noConversion"/>
  </si>
  <si>
    <t>[6.8, 12.6]</t>
    <phoneticPr fontId="1" type="noConversion"/>
  </si>
  <si>
    <t>[6.9, 12.8]</t>
    <phoneticPr fontId="1" type="noConversion"/>
  </si>
  <si>
    <t>[234, 234]</t>
    <phoneticPr fontId="1" type="noConversion"/>
  </si>
  <si>
    <t>[277, 277.1]</t>
    <phoneticPr fontId="1" type="noConversion"/>
  </si>
  <si>
    <t>[323, 324.2]</t>
    <phoneticPr fontId="1" type="noConversion"/>
  </si>
  <si>
    <t>[233.6, 233.6]</t>
    <phoneticPr fontId="1" type="noConversion"/>
  </si>
  <si>
    <t>[215.9, 217.1]</t>
    <phoneticPr fontId="1" type="noConversion"/>
  </si>
  <si>
    <t>[196, 200.2]</t>
    <phoneticPr fontId="1" type="noConversion"/>
  </si>
  <si>
    <t>[184, 187.8]</t>
    <phoneticPr fontId="1" type="noConversion"/>
  </si>
  <si>
    <t>[2.1, 4.3]</t>
    <phoneticPr fontId="1" type="noConversion"/>
  </si>
  <si>
    <t>[3, 5.8]</t>
    <phoneticPr fontId="1" type="noConversion"/>
  </si>
  <si>
    <t>[6.4, 7.9]</t>
    <phoneticPr fontId="1" type="noConversion"/>
  </si>
  <si>
    <t>[8.1, 11.1]</t>
    <phoneticPr fontId="1" type="noConversion"/>
  </si>
  <si>
    <t>[7.1, 15.4]</t>
    <phoneticPr fontId="1" type="noConversion"/>
  </si>
  <si>
    <t>COMMENTS</t>
    <phoneticPr fontId="1" type="noConversion"/>
  </si>
  <si>
    <t>x = 0.4</t>
  </si>
  <si>
    <t>(La(1-x)Cex)2Fe11Si2H1.8</t>
  </si>
  <si>
    <t>[1, 2]</t>
  </si>
  <si>
    <t>[18.3, 21.1]</t>
  </si>
  <si>
    <t>[170.6, 170.6]</t>
  </si>
  <si>
    <t>[3.7, 7.0]</t>
  </si>
  <si>
    <t>[9.8, 12.1]</t>
  </si>
  <si>
    <t>[314.5, 314.5]</t>
  </si>
  <si>
    <t>[5, 9.3]</t>
  </si>
  <si>
    <t>[10.8, 15.6]</t>
  </si>
  <si>
    <t>[11.0, 15.4]</t>
  </si>
  <si>
    <t>[13.5, 16.6]</t>
  </si>
  <si>
    <t>[14.5, 18.7]</t>
  </si>
  <si>
    <t>[8.0, 11.3]</t>
  </si>
  <si>
    <t>[9.5, 12.0]</t>
  </si>
  <si>
    <t>[9.6, 12.1]</t>
  </si>
  <si>
    <t>[9.7, 12.3]</t>
  </si>
  <si>
    <t>La0.7Ce0.3)1.0Mn0.34Fe11.06Si1.6</t>
  </si>
  <si>
    <t>(La0.7Ce0.3)1.1Mn0.34Fe11.06Si1.6</t>
  </si>
  <si>
    <t>(La0.6Ce0.4)1.1Mn0.34Fe11.06Si1.6</t>
  </si>
  <si>
    <t>(La0.6Ce0.4)1.0Mn0.40Fe11.06Si1.6</t>
  </si>
  <si>
    <t>(La0.6Ce0.4)1.1Mn0.40Fe11.06Si1.6</t>
  </si>
  <si>
    <t>[8.6, 11.4]</t>
  </si>
  <si>
    <t>[9.5, 12.6]</t>
  </si>
  <si>
    <t>[7.8, 10.4]</t>
  </si>
  <si>
    <t>[4.4, 7.3]</t>
  </si>
  <si>
    <t>[5.4, 8.6]</t>
  </si>
  <si>
    <t>[17.6, 35.9]</t>
  </si>
  <si>
    <t>[20.7, 40.9]</t>
  </si>
  <si>
    <t>[21.4, 45.5]</t>
  </si>
  <si>
    <t>[31.9, 53.6]</t>
  </si>
  <si>
    <t>[26.8, 50.8]</t>
  </si>
  <si>
    <t xml:space="preserve">La1-xFe11.4+xSi1.6 </t>
  </si>
  <si>
    <t>[NaN, 17.7]</t>
  </si>
  <si>
    <t>[NaN, 17.8]</t>
  </si>
  <si>
    <t>[NaN, 20.4]</t>
  </si>
  <si>
    <t>[NaN, 19.7]</t>
  </si>
  <si>
    <t>[NaN, 23.4]</t>
  </si>
  <si>
    <t>[18.4, 22.4]</t>
  </si>
  <si>
    <t>[17.5, 21.9]</t>
  </si>
  <si>
    <t>[9.7, 14.6]</t>
  </si>
  <si>
    <t>[11.8, 17.1]</t>
  </si>
  <si>
    <t>[8.0, 13.7]</t>
  </si>
  <si>
    <t>LaxFe11.5Si1.5</t>
  </si>
  <si>
    <t>La2-xCexFe11Si2</t>
  </si>
  <si>
    <t>[0.5, 1, 1.5, 2]</t>
  </si>
  <si>
    <t>[4.5, 5.7, 6.3, 7.7]</t>
  </si>
  <si>
    <t>[10.3, 14.5, 15.4, 16.5]</t>
  </si>
  <si>
    <t>[3.4, 5.8, 7.1, 9.5]</t>
  </si>
  <si>
    <t>[11.2, 13.3, 17.7, 18.7]</t>
  </si>
  <si>
    <t>[3.2, 6.0, 6.7, 8.9]</t>
  </si>
  <si>
    <t>[6.2, 18.4, 20.7, 21.1]</t>
  </si>
  <si>
    <t>[5.5, 3.8, 5.7, 7.5]</t>
  </si>
  <si>
    <t>[3.6, 9.4, 10, 10.7]</t>
  </si>
  <si>
    <t>[5.6, 4.9, 7.1, 9.5]</t>
  </si>
  <si>
    <t>[1.7, 3.5, 4.2, 4.6]</t>
  </si>
  <si>
    <t>[6.3, 6.3, 8.6, 10.9]</t>
  </si>
  <si>
    <t>La0.7(La–Ce)0.3FexAl11.5− xSi1.5/
La0.999Ce0.001FexAl11.5-xSi1.5</t>
  </si>
  <si>
    <t>LaFe11.5Al1.5Bx</t>
  </si>
  <si>
    <t>La1.3Fe11.7Si1.3</t>
  </si>
  <si>
    <t>La1.3Fe11.83Si1.17</t>
  </si>
  <si>
    <t>[0.6, 0.8, 1]</t>
  </si>
  <si>
    <t>[21.8, 22.5, 23]</t>
  </si>
  <si>
    <t>[2.2, 2.9, 3.8]</t>
  </si>
  <si>
    <t>[22.7, 24.2, 24.6]</t>
  </si>
  <si>
    <t>[7.5, 7.6, 9.7]</t>
  </si>
  <si>
    <t>[7.3, 7.4, 9.3]</t>
  </si>
  <si>
    <t>[7.1, 7.3, 9.2]</t>
  </si>
  <si>
    <t>[22, 22, 21.3]</t>
  </si>
  <si>
    <t>[19.3, 19.2, 20.2]</t>
  </si>
  <si>
    <t>[18.6, 18.9, 17.7]</t>
  </si>
  <si>
    <t>[5.4, 9.5]</t>
  </si>
  <si>
    <t>[30.1, 48.3]</t>
  </si>
  <si>
    <t>[5.7, 10.8]</t>
  </si>
  <si>
    <t>[28.2, 40.7]</t>
  </si>
  <si>
    <t>[5.5, 10.4]</t>
  </si>
  <si>
    <t>[31.1, 43.5]</t>
  </si>
  <si>
    <t>[5.2, 10.1]</t>
  </si>
  <si>
    <t>[28.7, 45.5]</t>
  </si>
  <si>
    <t>[2, 3, 5]</t>
  </si>
  <si>
    <t>[1, 6]</t>
  </si>
  <si>
    <t>[11.4, 22.0]</t>
  </si>
  <si>
    <t>[5.2, 25.2]</t>
  </si>
  <si>
    <t>La1 Fe11.09 Co0.86 Si1.05</t>
  </si>
  <si>
    <t>La1 Fe10.81 Co1.18 Si1.01</t>
  </si>
  <si>
    <t>La1 Fe10.63 Co1.33 Si1.04</t>
  </si>
  <si>
    <t>La1 Fe10.54 Co1.43 Si1.03</t>
  </si>
  <si>
    <t>La0.8Ce0.2Fe12.5Mn0.2Si1.3</t>
  </si>
  <si>
    <t>[1, 2, 3, 4, 5]</t>
  </si>
  <si>
    <t>[11.9, 12.4, 13.5, 14.4, 14.9]</t>
  </si>
  <si>
    <t>[6.1, 11.8, 17.1, 21.8, 21.6]</t>
  </si>
  <si>
    <t>La(Fe0.99Ni0.01)11.5Si1.5</t>
  </si>
  <si>
    <t>[0.5, 1, 2, 3, 4, 5]</t>
  </si>
  <si>
    <t>[2.2, 5.3, 8.8, 11.3, 12.9, 14.0]</t>
  </si>
  <si>
    <t>[4.9, 12.2, 15.8, 18.2, 19.6, 20.8]</t>
  </si>
  <si>
    <t>[6.1, 5.7, 10.4, 15.5, 19.4, 23.2]</t>
  </si>
  <si>
    <t>La1.7Fe11.6Si1.4</t>
  </si>
  <si>
    <t>[11.9, 13.6, 15.5, 16]</t>
  </si>
  <si>
    <t>[3.3, 6.1, 8.9, 10.9]</t>
  </si>
  <si>
    <t>La0.8Ce0.2(Fe0.95Co0.05)11.8Si1.2</t>
  </si>
  <si>
    <t>[2.8, 5.9]</t>
  </si>
  <si>
    <t>[10.4, 16.4]</t>
  </si>
  <si>
    <t>[12.5, 18.1]</t>
  </si>
  <si>
    <t>[11.7, 17.5]</t>
  </si>
  <si>
    <t>[11.7, 17.4]</t>
  </si>
  <si>
    <t>[248, 250]</t>
  </si>
  <si>
    <t>[247, 249]</t>
  </si>
  <si>
    <t>[245, 246]</t>
  </si>
  <si>
    <t>[246, 248]</t>
  </si>
  <si>
    <t>[22.4, 33]</t>
  </si>
  <si>
    <t>[15, 25.3]</t>
  </si>
  <si>
    <t>[10.3, 24.16]</t>
  </si>
  <si>
    <t>[13.7, 23.8]</t>
  </si>
  <si>
    <t>[13.7, 24.5]</t>
  </si>
  <si>
    <t>La1-x(La0.35Ce0.65)xFe11.5Si1.5</t>
  </si>
  <si>
    <t>LaFe11.5Si1.5C0.13</t>
  </si>
  <si>
    <t>LaFe11.85Si1.15</t>
  </si>
  <si>
    <t>La1.0Fe11.6Si1.4</t>
  </si>
  <si>
    <t>[0.2, 0.4, 0.6, 1.0, 1.4, 1.8, 2]</t>
  </si>
  <si>
    <t>La1.0Fe11.6Si1.4H1.9</t>
  </si>
  <si>
    <t>[173.5, 173.5, 173.5, 174.9, 177, 177.8, 178]</t>
  </si>
  <si>
    <t xml:space="preserve"> </t>
  </si>
  <si>
    <t>[3, 3.1, 3.9, 6.9, 9.6, 12, 12.9]</t>
  </si>
  <si>
    <t>[2, 5, 8.3, 13.1, 14.8, 15.9, 16.7]</t>
  </si>
  <si>
    <t>[344.4, 344.4, 344.4, 344.4, 344.4, 346, 346.3]</t>
  </si>
  <si>
    <t>[5.97, 5.5, 4.8, 4.7, 6.4, 7.7, 9.3]</t>
  </si>
  <si>
    <t>La(Fe0.99Mn0.01)11.5Si1.5</t>
  </si>
  <si>
    <t>La(Fe0.98Mn0.02)11.5Si1.5</t>
  </si>
  <si>
    <t>La(Fe0.97Mn0.03)11.5Si1.5</t>
  </si>
  <si>
    <t>La(Fe0.99Mn0.01)11.5Si1.5H1.61</t>
  </si>
  <si>
    <t>[7.9, 10.9]</t>
  </si>
  <si>
    <t>[316.8, 317.7]</t>
  </si>
  <si>
    <t>[6.7, 11.4]</t>
  </si>
  <si>
    <t>La0.8Pr0.2Fe11.4Si1.6</t>
  </si>
  <si>
    <t>La0.8Pr0.2Fe11.4Si1.6H0.13</t>
  </si>
  <si>
    <t>La0.6Pr0.4Fe11.4Si1.6</t>
  </si>
  <si>
    <t>La0.6Pr0.4Fe11.4Si1.6H0.87</t>
  </si>
  <si>
    <t>a</t>
  </si>
  <si>
    <t>b</t>
  </si>
  <si>
    <t>c</t>
  </si>
  <si>
    <t>d</t>
  </si>
  <si>
    <t>e</t>
  </si>
  <si>
    <t>f</t>
  </si>
  <si>
    <t>m</t>
  </si>
  <si>
    <t>n</t>
  </si>
  <si>
    <t>o</t>
  </si>
  <si>
    <t>p</t>
  </si>
  <si>
    <t>q</t>
  </si>
  <si>
    <t>r</t>
  </si>
  <si>
    <t>[1.5, 8]</t>
  </si>
  <si>
    <t>[17, 28.5]</t>
  </si>
  <si>
    <t>[177.25, 189.35]</t>
  </si>
  <si>
    <t>[10, 34.3]</t>
  </si>
  <si>
    <t>[162.1, 172.4]</t>
  </si>
  <si>
    <t>[16.3, 24.9]</t>
  </si>
  <si>
    <t>[9.7, 37.6]</t>
  </si>
  <si>
    <t>[11.46, 20]</t>
  </si>
  <si>
    <t>[130.5, 142.4]</t>
  </si>
  <si>
    <t>[11.3, 41.8]</t>
  </si>
  <si>
    <t>[14.2, 21.3]</t>
  </si>
  <si>
    <t>[285.9, 291.4]</t>
  </si>
  <si>
    <t>[7.5, 31.8]</t>
  </si>
  <si>
    <t>LaFe11.57Si1.43</t>
  </si>
  <si>
    <t>LaFe11.57Si1.43H1.64</t>
  </si>
  <si>
    <t>[210.4, 215.4]</t>
  </si>
  <si>
    <t>[13.5, 23.5]</t>
  </si>
  <si>
    <t>[329.6, 332.3]</t>
  </si>
  <si>
    <t>[14.5, 26.3]</t>
  </si>
  <si>
    <t>[0.1, 0.2]</t>
  </si>
  <si>
    <t>[2.2, 5.9]</t>
  </si>
  <si>
    <t>[1.88, 2.6]</t>
  </si>
  <si>
    <t>[190, 191.4]</t>
  </si>
  <si>
    <t>La0.5Pr0.5Fe11.4Si1.6H1.33</t>
  </si>
  <si>
    <t>La0.6Pr0.5Fe11.4Si1.6H1.47</t>
  </si>
  <si>
    <t>La0.7Pr0.5Fe11.4Si1.6H1.64</t>
  </si>
  <si>
    <t>La0.6Pr0.5Fe11.4Si1.6</t>
  </si>
  <si>
    <t>LaFe10.85Co0.65Si1.5C0.2</t>
  </si>
  <si>
    <t>[9.4, 11]</t>
  </si>
  <si>
    <t>[222.7, 223]</t>
  </si>
  <si>
    <t>[7.2, 10.1]</t>
  </si>
  <si>
    <t>[2.8, 3.8]</t>
  </si>
  <si>
    <t>[295, 295.3]</t>
  </si>
  <si>
    <t>[30, 33.8]</t>
  </si>
  <si>
    <t>LaFe11.1Co0.7Si1.2</t>
  </si>
  <si>
    <t>LaFe11.05Co0.75Si1.2</t>
  </si>
  <si>
    <t>LaFe10.95Co0.85Si1.2</t>
  </si>
  <si>
    <t>LaFe10.9Co0.9Si1.2</t>
  </si>
  <si>
    <t>[6, 9.8]</t>
  </si>
  <si>
    <t>[5.1, 8.7]</t>
  </si>
  <si>
    <t>[4.8, 8.2]</t>
  </si>
  <si>
    <t>[4.5, 7.7]</t>
  </si>
  <si>
    <t>[4.7, 7.9]</t>
  </si>
  <si>
    <t>[4.8, 8.4]</t>
  </si>
  <si>
    <t>[4.9, 8]</t>
  </si>
  <si>
    <t>[15, 18]</t>
  </si>
  <si>
    <t>[17, 21]</t>
  </si>
  <si>
    <t>[19, 22]</t>
  </si>
  <si>
    <t>[20, 23]</t>
  </si>
  <si>
    <t>[19, 23]</t>
  </si>
  <si>
    <t>[18, 20]</t>
  </si>
  <si>
    <t>[17, 20]</t>
  </si>
  <si>
    <t>LaFe11.14Co0.66Si1.2−xGax</t>
  </si>
  <si>
    <t>[1.94, 6.4]</t>
  </si>
  <si>
    <t>[1.2, 3.91]</t>
  </si>
  <si>
    <t>[0.66, 2.19]</t>
  </si>
  <si>
    <t>[16, 22]</t>
  </si>
  <si>
    <t>[26, 29]</t>
  </si>
  <si>
    <t>[32, 38]</t>
  </si>
  <si>
    <t>LaFe11.2-xMnxCo0.7Si1.1</t>
  </si>
  <si>
    <t>[4.9, 8.36, 11.3, 13.4, 14.9]</t>
  </si>
  <si>
    <t>[14.27, 18, 19.9, 24.4, 28]</t>
  </si>
  <si>
    <t>[4.1, 6.83, 9.1, 11, 12.34]</t>
  </si>
  <si>
    <t>[15.6, 20, 22.7, 25.2, 30]</t>
  </si>
  <si>
    <t>[5.2, 8.41, 11.3, 13.2, 14.54]</t>
  </si>
  <si>
    <t>[11.7, 15, 22.6, 18.9, 26]</t>
  </si>
  <si>
    <t>vacuum GmbH</t>
  </si>
  <si>
    <t>LaFe9.7Co0.8Si1.5Hy</t>
  </si>
  <si>
    <t>LaFe10.5Si1.5Hy</t>
  </si>
  <si>
    <t>LaFe10.18Co0.32Si1.5Hy</t>
  </si>
  <si>
    <t>LaFe9.69Co0.81Si1.5Hy</t>
  </si>
  <si>
    <t>LaFe9.5CoSi1.5Hy</t>
  </si>
  <si>
    <t>data from Fig.14; suspicious was wrong (chk reference 70 for correct composition)</t>
  </si>
  <si>
    <t>LaFe11.4Si1.6Hy</t>
  </si>
  <si>
    <t>LaFe11.5Si1.5H1.4</t>
  </si>
  <si>
    <t>LaFe10.7Co0.8Si1.5H1.4</t>
  </si>
  <si>
    <t>LaFe10.9Co0.6Si1.5H1.7</t>
  </si>
  <si>
    <t>LaFe11.2Co0.3Si1.5H1.6</t>
  </si>
  <si>
    <t>[5.2, 8.8]</t>
  </si>
  <si>
    <t>[28.2, 49.8]</t>
  </si>
  <si>
    <t>LaFe11.6Si1.4Zn0.03</t>
  </si>
  <si>
    <t>LaFe11.6Si1.4P0.03</t>
  </si>
  <si>
    <t>P</t>
  </si>
  <si>
    <t>Zn</t>
  </si>
  <si>
    <t>LaFe11Co0.95Si1.05</t>
  </si>
  <si>
    <t>[1, 2, 3, 5]</t>
  </si>
  <si>
    <t>[4.3, 7, 10.1, 13.8]</t>
  </si>
  <si>
    <t>[295.7, 296.8, 296.9, 297.4]</t>
  </si>
  <si>
    <t>[12.7, 20.2, 20.9, 28.9]</t>
  </si>
  <si>
    <t>LaFe11.25Mn0.125Co0.125Si1.5</t>
  </si>
  <si>
    <t>LaFe11Mn0.375Co0.125Si1.5</t>
  </si>
  <si>
    <t>[2.6, 4]</t>
  </si>
  <si>
    <t>[27.4, 29.4]</t>
  </si>
  <si>
    <t>[217, 217]</t>
  </si>
  <si>
    <t>La1.3Fe11.6Si1.4</t>
  </si>
  <si>
    <t>[1, 3, 5, 7]</t>
  </si>
  <si>
    <t>[17.9, 19.55, 21.4, 22.8]</t>
  </si>
  <si>
    <t>[181.9, 185.9, 189.1, 193.6]</t>
  </si>
  <si>
    <t>[4.34, 13.8, 22, 29.56]</t>
  </si>
  <si>
    <t>[13.62, 17.4, 19.5, 19.9]</t>
  </si>
  <si>
    <t>[181.0, 184.3, 188.3, 190.4]</t>
  </si>
  <si>
    <t>[4.94, 14.3, 22.7, 27.6]</t>
  </si>
  <si>
    <t>La1−xGdxFe11.5Si1.5</t>
  </si>
  <si>
    <t>La(Fe1-xCox)11.4Al1.6</t>
  </si>
  <si>
    <t>La(Fe1-xCox)11.4Si1.6</t>
  </si>
  <si>
    <t>La(Fe0.88Co0.055 Si0.065)13</t>
  </si>
  <si>
    <t>[1, 2, 5]</t>
  </si>
  <si>
    <t>[5.1, 9.6, 17.4]</t>
  </si>
  <si>
    <t>[273.7, 274.4, 276]</t>
  </si>
  <si>
    <t>[13.7, 16.8, 26.2]</t>
  </si>
  <si>
    <t>Tb</t>
  </si>
  <si>
    <t>[6.4, 9.2, 12.8, 14.4]</t>
  </si>
  <si>
    <t>[196.5, 196.5, 199.4, 199.5]</t>
  </si>
  <si>
    <t>[6.5, 6.6, 9.1, 9.5]</t>
  </si>
  <si>
    <t>[200.6, 200.5, 200.4, NaN]</t>
  </si>
  <si>
    <t>[4.3, 5.5, 7.5, 9.9]</t>
  </si>
  <si>
    <t>[3.3, 5.9, 7.85, 10.53]</t>
  </si>
  <si>
    <t>[237, 236.9, 237.1, 236.9]</t>
  </si>
  <si>
    <t>[3.3, 5.85, 7.8, 10.68]</t>
  </si>
  <si>
    <t>[17.4, 26.1, 30.4, 41.8]</t>
  </si>
  <si>
    <t>[2.64, 4.8, 6.64, 9.4]</t>
  </si>
  <si>
    <t>[274.8, 274.9, 276.2, 277.2]</t>
  </si>
  <si>
    <t>[24.37, 29.13, 32.3, 40.46]</t>
  </si>
  <si>
    <t>[1, 2, 3]</t>
  </si>
  <si>
    <t xml:space="preserve"> LaFe10.85Co0.75Si1.4C0.15</t>
  </si>
  <si>
    <t>LaFe11.4Co0.3Si1.3C0.15</t>
  </si>
  <si>
    <t>LaFe10.8Co0.9Si1.3C0.15</t>
  </si>
  <si>
    <t>LaFe11.2Co0.5Si1.3C0.15</t>
  </si>
  <si>
    <t>LaFe11.7-xCoxSi1.3C0.15</t>
  </si>
  <si>
    <t>La0.7Nd0.3Fe13 xSix</t>
  </si>
  <si>
    <t>[1, 2, 3, 4]</t>
  </si>
  <si>
    <t>La1.7Fe11Co0.8Si1.2</t>
  </si>
  <si>
    <t xml:space="preserve"> La(Fe0.92Co0.08)11.9Si1.1</t>
  </si>
  <si>
    <t>LaFe11.5Si1.5C0.15</t>
  </si>
  <si>
    <t>LaFe11.5Si1.5C0.15 + Fe0.1</t>
  </si>
  <si>
    <t>LaFe11.5Si1.5C0.15 + Nb0.1</t>
  </si>
  <si>
    <t>LaFe11.5 xCrxSi1.5</t>
  </si>
  <si>
    <t>LaFe11.5 xNixSi1.5</t>
  </si>
  <si>
    <t>La0.7Ce0.3Fe11.6Si1.4</t>
  </si>
  <si>
    <t>La0.7Ce0.213Pr0.023Nd0.064Fe11.6Si1.4</t>
  </si>
  <si>
    <t>La0.7Ce0.213Pr0.023Nd0.064Fe11.6Si1.4H1.6</t>
  </si>
  <si>
    <t>[13.8, 19]</t>
  </si>
  <si>
    <t>La(FexAl1−x)13</t>
  </si>
  <si>
    <t>Nb</t>
  </si>
  <si>
    <t>[13, 26]</t>
  </si>
  <si>
    <t>103
10.1063/1.4933261</t>
  </si>
  <si>
    <t>[1.5, 2, 3, 4, 5]</t>
  </si>
  <si>
    <t>[3.6, 4.2, 5.6, 6.5, 7.8]</t>
  </si>
  <si>
    <t>[151.7, 154.3, 161.5, 170, 182.5]</t>
  </si>
  <si>
    <t>[38.6, 51.7, 59.5, 69.7, 73.2]</t>
  </si>
  <si>
    <t>[1, 1.5, 2, 3, 4, 5]</t>
  </si>
  <si>
    <t>[180.8, 181.1, 182.4, 182.4, 184.7, 185.4]</t>
  </si>
  <si>
    <t>[1.7, 2.5, 3.1, 4.4, 5.4, 6.4]</t>
  </si>
  <si>
    <t>[45.8, 50, 55, 60.8, 68, 70.9]</t>
  </si>
  <si>
    <t>[0.6, 1, 2]</t>
  </si>
  <si>
    <t>[2.6, 3.0, 3.7]</t>
  </si>
  <si>
    <t>[126.8, 127.5, 142.5]</t>
  </si>
  <si>
    <t>[17.3, 32.3, 53.6]</t>
  </si>
  <si>
    <t>[4, 5]</t>
  </si>
  <si>
    <t>[2.1, 3]</t>
  </si>
  <si>
    <t>[143.1, 147.7]</t>
  </si>
  <si>
    <t>[48.3, 62.2]</t>
  </si>
  <si>
    <t>[22.7, 28]</t>
  </si>
  <si>
    <t>[6.9, 18.7]</t>
  </si>
  <si>
    <t>[215, 221]</t>
  </si>
  <si>
    <t>[18, 23.9]</t>
  </si>
  <si>
    <t>[9.35, 19.8]</t>
  </si>
  <si>
    <t>[194, 199.7]</t>
  </si>
  <si>
    <t>[321.2, 320.9]</t>
  </si>
  <si>
    <t>[11.3, 22.2]</t>
  </si>
  <si>
    <t>[24.9, 25.4]</t>
  </si>
  <si>
    <t>[6.9, 18.65]</t>
  </si>
  <si>
    <t>[315, 317]</t>
  </si>
  <si>
    <t>[7.8, 14.1]</t>
  </si>
  <si>
    <t>[297.3, 299.1]</t>
  </si>
  <si>
    <t>[22.3, 32.4]</t>
  </si>
  <si>
    <t>[2.3, 4.2, 5.9, 7.2]</t>
  </si>
  <si>
    <t>[13.2, 15.7, 17.15, 19.4]</t>
  </si>
  <si>
    <t>[269.4, 269.4, 269.4, 269.5]</t>
  </si>
  <si>
    <t>[16.5, 27, 28, 28.8]</t>
  </si>
  <si>
    <t>[177.3, 177.4, 177.3, 177.3]</t>
  </si>
  <si>
    <t>[5.5, 7.14, 11, 15.2]</t>
  </si>
  <si>
    <t>[4.1, 7.9, 10.6, 12.5]</t>
  </si>
  <si>
    <t>[212.6, 212.5, 212.3, 212.3]</t>
  </si>
  <si>
    <t>[18, 19.3, 23.3, 26.5]</t>
  </si>
  <si>
    <t>[18, 21.3, 22.4]</t>
  </si>
  <si>
    <t>[187.5, 187.5, 187.5]</t>
  </si>
  <si>
    <t>[3.41, 7.6, 12]</t>
  </si>
  <si>
    <t>[11, 17.6]</t>
  </si>
  <si>
    <t>[5.4, 14.2]</t>
  </si>
  <si>
    <t>[10.5, 19]</t>
  </si>
  <si>
    <t>[16.1, 26.6]</t>
  </si>
  <si>
    <t>[4.7, 14.2]</t>
  </si>
  <si>
    <t>[3.5, 11.7]</t>
  </si>
  <si>
    <t>[8.6, 10.7]</t>
  </si>
  <si>
    <t>[7.03, 8.9]</t>
  </si>
  <si>
    <t>[6, 7.66]</t>
  </si>
  <si>
    <t>[4.96, 6.4]</t>
  </si>
  <si>
    <t>[4.17, 5.48]</t>
  </si>
  <si>
    <t>[3.83, 5.12]</t>
  </si>
  <si>
    <t>[3.4, 4.43]</t>
  </si>
  <si>
    <t>[5.8, 10.5, 12.6, 14, 15.2]</t>
  </si>
  <si>
    <t>[10.7, 13.35, 17.9, 23.2, 27.4]</t>
  </si>
  <si>
    <t>[4.4, 7.9, 10.8, 12.9, 15]</t>
  </si>
  <si>
    <t>[20.4, 24.2, 26.4, 29.6, 33]</t>
  </si>
  <si>
    <t>[7.7, 20.5]</t>
  </si>
  <si>
    <t>[2.7, 11.8]</t>
  </si>
  <si>
    <t>[2.4, 9.9]</t>
  </si>
  <si>
    <t>[12.4, 19.6]</t>
  </si>
  <si>
    <t>[14.55, 20.4]</t>
  </si>
  <si>
    <t>Article ID</t>
  </si>
  <si>
    <t>Article DOI</t>
  </si>
  <si>
    <t>3
4</t>
  </si>
  <si>
    <r>
      <t>10.1103/PhysRevB.67.104416</t>
    </r>
    <r>
      <rPr>
        <u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>10.1063/1.1498148</t>
    </r>
  </si>
  <si>
    <t>10.1063/1.1375836</t>
  </si>
  <si>
    <t>La(Fe(1−x)Cox)11.44Al1.56</t>
  </si>
  <si>
    <t xml:space="preserve">LaFe11.6Si1.4 </t>
  </si>
  <si>
    <t xml:space="preserve">LaFe11.5Si1.5 </t>
  </si>
  <si>
    <t xml:space="preserve">La0.95Tb0.05Fe11.5Si1.5 </t>
  </si>
  <si>
    <t xml:space="preserve">La0.9Tb0.1Fe11.5Si1.5 </t>
  </si>
  <si>
    <t xml:space="preserve">La0.8Tb0.2Fe11.5Si1.5 </t>
  </si>
  <si>
    <t xml:space="preserve">La0.7Tb0.3Fe11.5Si1.5 </t>
  </si>
  <si>
    <t>Composition details</t>
  </si>
  <si>
    <t>Composition in the article</t>
  </si>
  <si>
    <t>10.1109/TMAG.2011.2147774</t>
  </si>
  <si>
    <t>10.1088/0953-8984/19/23/236230</t>
  </si>
  <si>
    <t>10.1016/j.jallcom.2014.02.015</t>
  </si>
  <si>
    <t>LaFe(11.74-y)MnySi1.26Hz</t>
  </si>
  <si>
    <t>strip_casting</t>
  </si>
  <si>
    <t>mech_alloying</t>
  </si>
  <si>
    <t>melt_spinning</t>
  </si>
  <si>
    <t>suction_casting</t>
  </si>
  <si>
    <t>arc_or_ind_melting</t>
  </si>
  <si>
    <t>Method</t>
  </si>
  <si>
    <t>CL values, 
∆Sm and ∆Tad vs ∆H for given T</t>
  </si>
  <si>
    <t>8
8-8</t>
  </si>
  <si>
    <t>10.1063/1.2913166
10.1016/j.jmmm.2007.04.030</t>
  </si>
  <si>
    <t>10.1103/PhysRevB.31.4622</t>
  </si>
  <si>
    <t>10.1002/adma.201000177</t>
  </si>
  <si>
    <t>10.1016/0304-8853(83)90128-2</t>
  </si>
  <si>
    <t>10.1016/j.jmmm.2008.04.116</t>
  </si>
  <si>
    <t>10.1016/j.jallcom.2010.11.144</t>
  </si>
  <si>
    <t>10.1109/TMAG.2005.854775</t>
  </si>
  <si>
    <t>10.1007/s11433-013-5357-1</t>
  </si>
  <si>
    <t>10.1016/j.jallcom.2004.09.021</t>
  </si>
  <si>
    <t>10.1016/j.actamat.2018.08.054</t>
  </si>
  <si>
    <t>10.1016/j.jallcom.2007.09.064</t>
  </si>
  <si>
    <t>10.1016/j.jmmm.2006.10.962</t>
  </si>
  <si>
    <t>10.1063/1.2227631</t>
  </si>
  <si>
    <t>10.1063/1.3172927</t>
  </si>
  <si>
    <t>10.1016/j.jallcom.2012.01.042</t>
  </si>
  <si>
    <t>10.1016/j.jmmm.2009.10.043</t>
  </si>
  <si>
    <t>10.1109/20.951162</t>
  </si>
  <si>
    <t>10.1016/j.jmmm.2009.10.042</t>
  </si>
  <si>
    <t>10.1016/j.jmmm.2017.06.111</t>
  </si>
  <si>
    <t>10.7498/aps.65.217502</t>
  </si>
  <si>
    <t>10.1016/j.actamat.2016.07.039</t>
  </si>
  <si>
    <t>10.1007/s10948-013-2375-1</t>
  </si>
  <si>
    <t>10.1063/1.3675985</t>
  </si>
  <si>
    <t>10.1007/s10948-014-2515-2</t>
  </si>
  <si>
    <t>10.1016/j.jallcom.2013.03.036</t>
  </si>
  <si>
    <t>10.1016/j.jmmm.2006.10.960</t>
  </si>
  <si>
    <t>10.1063/1.3072021</t>
  </si>
  <si>
    <t>10.1016/j.jmmm.2006.08.021</t>
  </si>
  <si>
    <t>10.1016/j.actamat.2016.12.014</t>
  </si>
  <si>
    <t>10.1016/j.actamat.2017.01.054</t>
  </si>
  <si>
    <t>10.1021/ic701311b</t>
  </si>
  <si>
    <t>10.1063/1.4928086</t>
  </si>
  <si>
    <t>10.1016/j.intermet.2011.06.005</t>
  </si>
  <si>
    <t>10.1016/j.jmmm.2010.06.043</t>
  </si>
  <si>
    <t>10.1063/1.4865236</t>
  </si>
  <si>
    <t>10.1063/1.4868707</t>
  </si>
  <si>
    <t>10.1016/S0304-8853(03)00073-8</t>
  </si>
  <si>
    <t>10.1016/j.jallcom.2004.11.106</t>
  </si>
  <si>
    <t>10.1002/adma.200800955</t>
  </si>
  <si>
    <t>10.1063/1.1847071</t>
  </si>
  <si>
    <t>10.1063/1.3276565</t>
  </si>
  <si>
    <t>10.1016/j.jallcom.2005.04.022</t>
  </si>
  <si>
    <t>10.1016/j.stam.2003.07.002</t>
  </si>
  <si>
    <t>10.1103/PhysRevB.64.012409</t>
  </si>
  <si>
    <t>10.1016/j.jallcom.2004.12.112</t>
  </si>
  <si>
    <t>10.1063/1.1643774</t>
  </si>
  <si>
    <t>10.1016/j.scriptamat.2012.05.039</t>
  </si>
  <si>
    <t>10.1038/ncomms1606</t>
  </si>
  <si>
    <t>10.1016/j.actamat.2011.02.033</t>
  </si>
  <si>
    <t>10.1098/rsta.2015.0308</t>
  </si>
  <si>
    <t>10.1021/ja405161z</t>
  </si>
  <si>
    <t>956</t>
  </si>
  <si>
    <t>951</t>
  </si>
  <si>
    <t>953</t>
  </si>
  <si>
    <t>954</t>
  </si>
  <si>
    <t>10.1016/j.actamat.2021.116687</t>
  </si>
  <si>
    <t>10.1016/j.actamat.2021.117286</t>
  </si>
  <si>
    <t>10.1016/j.intermet.2015.03.012</t>
  </si>
  <si>
    <t>10.1016/j.intermet.2017.10.020</t>
  </si>
  <si>
    <t>10.1016/j.intermet.2018.10.002</t>
  </si>
  <si>
    <t>10.1016/j.intermet.2021.107269</t>
  </si>
  <si>
    <t>10.1016/j.jallcom.2013.12.193</t>
  </si>
  <si>
    <t>10.1016/j.jallcom.2014.02.163</t>
  </si>
  <si>
    <t>10.1016/j.jallcom.2015.07.133</t>
  </si>
  <si>
    <t>10.1016/j.jallcom.2016.01.211</t>
  </si>
  <si>
    <t>10.1016/j.jallcom.2016.11.360</t>
  </si>
  <si>
    <t>10.1016/j.jallcom.2018.01.381</t>
  </si>
  <si>
    <t>10.1016/j.jallcom.2019.06.069</t>
  </si>
  <si>
    <t>10.1016/j.jallcom.2019.06.082</t>
  </si>
  <si>
    <t xml:space="preserve">10.1016/j.jallcom.2020.153846 </t>
  </si>
  <si>
    <t>10.1063/1.4992057</t>
  </si>
  <si>
    <t>10.1063/251.5006089</t>
  </si>
  <si>
    <t>10.1063/1.5139449</t>
  </si>
  <si>
    <t>10.1088/1361-6463/aa893e</t>
  </si>
  <si>
    <t>10.1088/1361-6463/aaad28</t>
  </si>
  <si>
    <t>10.1088/1674-1056/24/7/077503</t>
  </si>
  <si>
    <t>10.1088/1674-1056/25/2/027501</t>
  </si>
  <si>
    <t>10.1088/1674-1056/26/6/067502</t>
  </si>
  <si>
    <t>10.1103/PhysRevB.94.134405</t>
  </si>
  <si>
    <t>10.1103/PhysRevB.95.064411</t>
  </si>
  <si>
    <t>10.1103/PhysRevLett.101.177203</t>
  </si>
  <si>
    <t>10.1109/TMAG.2005.854764</t>
  </si>
  <si>
    <t>10.1109/TMAG.2006.879746</t>
  </si>
  <si>
    <t>10.1109/TMAG.2011.2147295</t>
  </si>
  <si>
    <t>10.1109/TMAG.2011.2157092</t>
  </si>
  <si>
    <t>10.1109/TMAG.2012.2196987</t>
  </si>
  <si>
    <t>10.1109/TMAG.2012.2199744</t>
  </si>
  <si>
    <t>10.1109/TMAG.2015.2439299</t>
  </si>
  <si>
    <t>10.1134/S1063776111150118</t>
  </si>
  <si>
    <t>10.12693/APhysPolA.128.87</t>
  </si>
  <si>
    <t>10.12693/APhysPolA.133.648</t>
  </si>
  <si>
    <t>10.1557/mrc.2018.105</t>
  </si>
  <si>
    <t>10.2497/jjspm.54.10</t>
  </si>
  <si>
    <t>10.3390/coatings12040534</t>
  </si>
  <si>
    <t>10.3390/en13061491</t>
  </si>
  <si>
    <t>10.3390/ma15010343</t>
  </si>
  <si>
    <t xml:space="preserve">10.3390/magnetochemistry7010013
10.1007/978-3-030-05861-6_56 </t>
  </si>
  <si>
    <t>10.3390/met12010112</t>
  </si>
  <si>
    <t>10.3390/met9040432</t>
  </si>
  <si>
    <t>10.4028/www.scientific.net/AMR.750-752.919</t>
  </si>
  <si>
    <t>10.4028/www.scientific.net/SSP.170.248</t>
  </si>
  <si>
    <t>10.7498/aps.70.20211085</t>
  </si>
  <si>
    <t>10.1016/j.jallcom.2021.159796</t>
  </si>
  <si>
    <t>10.1016/j.jallcom.2021.162597</t>
  </si>
  <si>
    <t>10.1016/j.jallcom.2022.164858</t>
  </si>
  <si>
    <t xml:space="preserve">10.1016/j.jmmm.2006.09.010 </t>
  </si>
  <si>
    <t xml:space="preserve">10.1016/j.jmmm.2006.10.1058 </t>
  </si>
  <si>
    <t>10.1016/j.jmmm.2013.09.027</t>
  </si>
  <si>
    <t>10.1016/j.jmmm.2014.10.035</t>
  </si>
  <si>
    <t>10.1016/j.jmmm.2017.10.123</t>
  </si>
  <si>
    <t>10.1016/j.jmmm.2017.11.047</t>
  </si>
  <si>
    <t>10.1016/j.jmmm.2018.01.063</t>
  </si>
  <si>
    <t>10.1016/j.jmmm.2018.02.009</t>
  </si>
  <si>
    <t>10.1016/25j.jmmm.2018.04.063</t>
  </si>
  <si>
    <t>10.1016/j.jmmm.2020.167652</t>
  </si>
  <si>
    <t>10.1016/j.jmmm.2021.168932</t>
  </si>
  <si>
    <t>10.1016/j.jssc.2012.01.030</t>
  </si>
  <si>
    <t>10.1016/j.matlet.2013.09.045</t>
  </si>
  <si>
    <t>10.1016/j.physb.2015.03.012</t>
  </si>
  <si>
    <t>10.1016/j.scriptamat.2014.10.002</t>
  </si>
  <si>
    <t>10.1021/acs.jpcc.9b08629</t>
  </si>
  <si>
    <t>10.1063/1.4800629</t>
  </si>
  <si>
    <t>10.1063/1.4760262</t>
  </si>
  <si>
    <t>10.1063/1.3670608</t>
  </si>
  <si>
    <t xml:space="preserve">10.1063/1.2713219 </t>
  </si>
  <si>
    <t xml:space="preserve">LaFe11.6-xMnxSi1.4 </t>
  </si>
  <si>
    <t>x = 0.7</t>
  </si>
  <si>
    <t>x = 0.1</t>
  </si>
  <si>
    <t>x = 0.2</t>
  </si>
  <si>
    <t>x = 0.3</t>
  </si>
  <si>
    <t>x = 0.15</t>
  </si>
  <si>
    <t>x = 1.4</t>
  </si>
  <si>
    <t>x = 1.6</t>
  </si>
  <si>
    <t>x = 1.8</t>
  </si>
  <si>
    <t>x = 1.2</t>
  </si>
  <si>
    <t>x = 0.8</t>
  </si>
  <si>
    <t>x = 0.9</t>
  </si>
  <si>
    <t>x = 0.86</t>
  </si>
  <si>
    <t>x = 0.87</t>
  </si>
  <si>
    <t>x = 0.88</t>
  </si>
  <si>
    <t>x = 0.89</t>
  </si>
  <si>
    <t>x = 0.5</t>
  </si>
  <si>
    <t>x = 0.04</t>
  </si>
  <si>
    <t>x = 0.08</t>
  </si>
  <si>
    <t>x = 0</t>
  </si>
  <si>
    <t>x = 0.12</t>
  </si>
  <si>
    <t>x = 0.05</t>
  </si>
  <si>
    <t>x = 0.25</t>
  </si>
  <si>
    <t>y = 0</t>
  </si>
  <si>
    <t>y = 0.21</t>
  </si>
  <si>
    <t>y = 0.41</t>
  </si>
  <si>
    <t>y = 0.86</t>
  </si>
  <si>
    <t>y = 0.3</t>
  </si>
  <si>
    <t>y = 1</t>
  </si>
  <si>
    <t>y = 1.4</t>
  </si>
  <si>
    <t>y = 1.6</t>
  </si>
  <si>
    <t>y = 1.2</t>
  </si>
  <si>
    <t>y = 1.5</t>
  </si>
  <si>
    <t>y = 0.7</t>
  </si>
  <si>
    <t>y = 1.1</t>
  </si>
  <si>
    <t>y = 1.3</t>
  </si>
  <si>
    <t>w = 0</t>
  </si>
  <si>
    <t>w = 0.2</t>
  </si>
  <si>
    <t>w = 0.4</t>
  </si>
  <si>
    <t>w = 0.6</t>
  </si>
  <si>
    <t>w = 0.8</t>
  </si>
  <si>
    <t>w = 1</t>
  </si>
  <si>
    <t>LaFe11.57(Si1-wAlw)1.43</t>
  </si>
  <si>
    <t>LaFe11.86(Si1-wAlw)1.14</t>
  </si>
  <si>
    <t>LaFe11.29(Si1-wAlw)1.71</t>
  </si>
  <si>
    <t>LaFe11.29(Si1-wAlw)1.71Hs</t>
  </si>
  <si>
    <t>LaFe11.57(Si1-wAlw)1.43Hs</t>
  </si>
  <si>
    <t>LaFe11.86(Si1-wAlw)1.14Hs</t>
  </si>
  <si>
    <t xml:space="preserve">x = 0 </t>
  </si>
  <si>
    <t>x = 1</t>
  </si>
  <si>
    <t>x = 1.1</t>
  </si>
  <si>
    <t>x = 1.3</t>
  </si>
  <si>
    <t>x = 0.6</t>
  </si>
  <si>
    <t>x = 1.0</t>
  </si>
  <si>
    <t>x = 11</t>
  </si>
  <si>
    <t>x = 11.1</t>
  </si>
  <si>
    <t>x = 11.2</t>
  </si>
  <si>
    <t>x = 11.3</t>
  </si>
  <si>
    <t>x = 11.4</t>
  </si>
  <si>
    <t>x = 11.5</t>
  </si>
  <si>
    <t>y = 0.1</t>
  </si>
  <si>
    <t>y = 0.2</t>
  </si>
  <si>
    <t>y = 0.4</t>
  </si>
  <si>
    <t>y = 0.5</t>
  </si>
  <si>
    <t>These 3 samples considered to be fully hydrogenated</t>
  </si>
  <si>
    <t>Hydrogen is assigned to be y = 2.1 in these samples according to the article. But here 1.8 is considered as it is typical for full hydrogenation</t>
  </si>
  <si>
    <t>Averaged annealing conditions</t>
  </si>
  <si>
    <t>Sintering</t>
  </si>
  <si>
    <t>Wheel speed 35 m/s</t>
  </si>
  <si>
    <t>Reactive sintering</t>
  </si>
  <si>
    <t xml:space="preserve">Sintered and annealead </t>
  </si>
  <si>
    <t>Centrifugal casting; 
sub-rapid quenching, including annealing conditions maybe misleading</t>
  </si>
  <si>
    <t>Best RCP value</t>
  </si>
  <si>
    <t>Three transitions are found in M(T),
may be better to use transition temperatures from S-T curves</t>
  </si>
  <si>
    <t xml:space="preserve">Ann. conditions are suspecious for other samples in the paper </t>
  </si>
  <si>
    <t>Not annealed</t>
  </si>
  <si>
    <t>LaFe11.65Si1.35</t>
  </si>
  <si>
    <t>H [or D]</t>
  </si>
  <si>
    <t>Thermal diffusion</t>
  </si>
  <si>
    <t>Resistivity, barocaloric effect</t>
  </si>
  <si>
    <t>Barocaloric effect</t>
  </si>
  <si>
    <t>Wheel speed 20 m/s</t>
  </si>
  <si>
    <t>Wheel speed 40 m/s</t>
  </si>
  <si>
    <t>Cooling power</t>
  </si>
  <si>
    <t>Time dependence</t>
  </si>
  <si>
    <t>Cp values</t>
  </si>
  <si>
    <t>[6.7, 9.8, 12.7]</t>
  </si>
  <si>
    <t>[15.4, 14.9, 16.1]</t>
  </si>
  <si>
    <t>[2.2, 4, 5.5, 6.8, 7.8]</t>
  </si>
  <si>
    <t>[219.3, 220.4, 221.5, 222.1, 223.9]</t>
  </si>
  <si>
    <t>[23.9, 30.4, 33.4, 36.9, 40.5]</t>
  </si>
  <si>
    <t>RCP
3T data is available</t>
  </si>
  <si>
    <t>Fe2B phase?</t>
  </si>
  <si>
    <t>[22.1, 25.6, 32.9, 36.5]</t>
  </si>
  <si>
    <t>Non-adiabatic</t>
  </si>
  <si>
    <t xml:space="preserve">La0.8Ce0.2Fe11.5xCoxSi1.5C0.2 </t>
  </si>
  <si>
    <r>
      <t>ΔT</t>
    </r>
    <r>
      <rPr>
        <vertAlign val="subscript"/>
        <sz val="12"/>
        <color theme="1"/>
        <rFont val="Arial"/>
        <family val="2"/>
      </rPr>
      <t>ad</t>
    </r>
    <r>
      <rPr>
        <sz val="12"/>
        <color theme="1"/>
        <rFont val="Arial"/>
        <family val="2"/>
      </rPr>
      <t xml:space="preserve">  direct and indirect</t>
    </r>
  </si>
  <si>
    <t>H vs S, Tc vs Tpeak!, RCP</t>
  </si>
  <si>
    <t>Mistake in the legend of Fig. 5b</t>
  </si>
  <si>
    <t>[12.5, 14.6]</t>
  </si>
  <si>
    <t>[5.4, 7.5]</t>
  </si>
  <si>
    <t>[3.8, 5.4]</t>
  </si>
  <si>
    <t>[3.3, 4.7]</t>
  </si>
  <si>
    <t>[223, 223.3]</t>
  </si>
  <si>
    <t>[248.6, 248.4]</t>
  </si>
  <si>
    <t>[271.5, 271.4]</t>
  </si>
  <si>
    <t>[292.5, 292.4]</t>
  </si>
  <si>
    <t>[12.9, 15.1]</t>
  </si>
  <si>
    <t>[20.2, 22.1]</t>
  </si>
  <si>
    <t>[21, 25.6]</t>
  </si>
  <si>
    <t>Hysteresis</t>
  </si>
  <si>
    <t>RCP, hysteresis loss</t>
  </si>
  <si>
    <t>10.1016/j.jmmm.2008.03.004</t>
  </si>
  <si>
    <t>10.1063/1.2803658</t>
  </si>
  <si>
    <t>10.1016/j.actamat.2019.06.022</t>
  </si>
  <si>
    <t>10.1016/j.intermet.2012.12.013</t>
  </si>
  <si>
    <t>10.1063/1.2203389</t>
  </si>
  <si>
    <t>10.1016/j.jallcom.2015.02.131</t>
  </si>
  <si>
    <t>10.2320/matertrans.47.482</t>
  </si>
  <si>
    <t>10.1016/j.jmmm.2009.02.027</t>
  </si>
  <si>
    <t>10.1016/j.jmmm.2011.05.041</t>
  </si>
  <si>
    <t>10.12693/aphyspola.127.576</t>
  </si>
  <si>
    <t>10.1016/j.jmmm.2011.08.028</t>
  </si>
  <si>
    <t>10.1016/j.jmmm.2016.08.068</t>
  </si>
  <si>
    <t>10.1103/physrevb.83.144415</t>
  </si>
  <si>
    <t>10.1016/j.jallcom.2015.04.199</t>
  </si>
  <si>
    <t>10.1016/j.jmmm.2014.04.020</t>
  </si>
  <si>
    <t>10.1016/j.jmmm.2008.11.096</t>
  </si>
  <si>
    <t>10.1016/j.jallcom.2016.06.259</t>
  </si>
  <si>
    <t>10.1063/1.3549560</t>
  </si>
  <si>
    <t>10.1016/j.jallcom.2010.12.194</t>
  </si>
  <si>
    <t>10.1016/j.matlet.2014.07.060</t>
  </si>
  <si>
    <t>10.1063/1.3335603</t>
  </si>
  <si>
    <t>10.1016/j.jallcom.2015.05.164</t>
  </si>
  <si>
    <t>10.1016/j.jallcom.2014.11.120</t>
  </si>
  <si>
    <t>10.1016/j.jmmm.2010.12.038</t>
  </si>
  <si>
    <t>10.1016/j.jmmm.2012.11.030</t>
  </si>
  <si>
    <t>10.1016/j.jmmm.2008.11.081</t>
  </si>
  <si>
    <t>10.1016/j.jmmm.2018.02.005</t>
  </si>
  <si>
    <t>10.1016/j.jmmm.2006.11.211</t>
  </si>
  <si>
    <t>10.1016/j.matlet.2018.11.055</t>
  </si>
  <si>
    <t>10.12693/aphyspola.133.232</t>
  </si>
  <si>
    <t>10.12693/aphyspola.129.193</t>
  </si>
  <si>
    <t>10.1063/1.2829035</t>
  </si>
  <si>
    <t>10.1016/j.jmmm.2012.11.049</t>
  </si>
  <si>
    <t>10.1109/tmag.2008.2002523</t>
  </si>
  <si>
    <t>10.1063/1.2137884</t>
  </si>
  <si>
    <t>10.1063/1.5022932</t>
  </si>
  <si>
    <t>10.1016/j.jssc.2015.10.016</t>
  </si>
  <si>
    <t>10.1016/j.jmmm.2014.10.133</t>
  </si>
  <si>
    <t>10.1016/j.jmmm.2010.08.013</t>
  </si>
  <si>
    <t>10.1007/s10948-014-2542-z</t>
  </si>
  <si>
    <t>10.1063/1.3540372</t>
  </si>
  <si>
    <t>10.1016/j.intermet.2010.07.022</t>
  </si>
  <si>
    <t>10.1002/adma.200901072</t>
  </si>
  <si>
    <t>10.1063/1.3063067</t>
  </si>
  <si>
    <t>10.1063/1.3359807</t>
  </si>
  <si>
    <t>10.1063/1.1502919</t>
  </si>
  <si>
    <t>10.1063/1.1664431</t>
  </si>
  <si>
    <t>10.1109/20.281070</t>
  </si>
  <si>
    <t>10.1063/1.1448793</t>
  </si>
  <si>
    <t>10.1063/1.1847871</t>
  </si>
  <si>
    <t>10.1063/1.2404468</t>
  </si>
  <si>
    <t>10.1063/1.2794412</t>
  </si>
  <si>
    <t>10.1088/1674-1056/18/5/055</t>
  </si>
  <si>
    <t>10.1016/j.jmmm.2008.08.081</t>
  </si>
  <si>
    <t>10.1016/j.jallcom.2015.05.173</t>
  </si>
  <si>
    <t>10.1002/aenm.201200297</t>
  </si>
  <si>
    <t>10.1016/j.jallcom.2008.07.139</t>
  </si>
  <si>
    <t>10.1007/s11664-016-4615-1</t>
  </si>
  <si>
    <t>10.1088/0022-3727/41/24/245005</t>
  </si>
  <si>
    <t>10.1007/s10853-020-04449-1</t>
  </si>
  <si>
    <t>10.1088/2043-6262/4/2/025018</t>
  </si>
  <si>
    <t>10.1063/1.3335892</t>
  </si>
  <si>
    <t>10.1109/tmag.2009.2018921</t>
  </si>
  <si>
    <t>10.1007/s40195-020-01107-y</t>
  </si>
  <si>
    <t>10.1016/j.jallcom.2013.11.173</t>
  </si>
  <si>
    <t>10.1016/s1002-0721(10)60459-0</t>
  </si>
  <si>
    <t>10.4028/www.scientific.net/amm.84-85.667</t>
  </si>
  <si>
    <t>10.1016/s1002-0721(12)60210-5</t>
  </si>
  <si>
    <t>10.1016/j.jmst.2017.11.023</t>
  </si>
  <si>
    <t>10.1088/0953-8984/9/35/019</t>
  </si>
  <si>
    <t>10.1016/s1002-0721(16)60026-1</t>
  </si>
  <si>
    <t>10.1016/j.matdes.2017.05.038</t>
  </si>
  <si>
    <t>10.1088/0022-3727/37/18/001</t>
  </si>
  <si>
    <t>10.1088/1009-1963/16/12/049</t>
  </si>
  <si>
    <t>10.1088/0953-8984/16/45/026</t>
  </si>
  <si>
    <t>10.1088/1674-1056/22/1/017502</t>
  </si>
  <si>
    <t>10.1088/0953-8984/15/43/020</t>
  </si>
  <si>
    <t>10.1088/0953-8984/12/46/101</t>
  </si>
  <si>
    <t>1017
1017-70</t>
  </si>
  <si>
    <t>1017-70 is a Ref.70 from 1017</t>
  </si>
  <si>
    <t>10.1088/0953-8984/15/7/102</t>
  </si>
  <si>
    <t>10.1063/1.1558658</t>
  </si>
  <si>
    <t>10.1016/S0304-8853(03)00207-5</t>
  </si>
  <si>
    <t>10.1021/acs.chemmater.9b03915</t>
  </si>
  <si>
    <t>10.1002/aelm.201700636</t>
  </si>
  <si>
    <t>10.1002/mdp2.96</t>
  </si>
  <si>
    <t>10.1002/pssr.201700143</t>
  </si>
  <si>
    <t>10.1007/s10948-014-2532-1</t>
  </si>
  <si>
    <t>10.1007/s11664-016-4626-y</t>
  </si>
  <si>
    <t>10.1007/s12598-011-0395-1</t>
  </si>
  <si>
    <t>10.1007/s12598-017-0917-6</t>
  </si>
  <si>
    <t>10.1007/s12598-021-01849-3</t>
  </si>
  <si>
    <t>10.1016/j.actamat.2012.04.027</t>
  </si>
  <si>
    <t>10.1016/j.actamat.2020.01.030</t>
  </si>
  <si>
    <t>10.1063/1.2921781</t>
  </si>
  <si>
    <t>10.1063/1.4868703</t>
  </si>
  <si>
    <r>
      <rPr>
        <sz val="12"/>
        <rFont val="Arial"/>
        <family val="2"/>
      </rPr>
      <t xml:space="preserve">[202.9, </t>
    </r>
    <r>
      <rPr>
        <sz val="12"/>
        <color theme="1"/>
        <rFont val="Arial"/>
        <family val="2"/>
      </rPr>
      <t>203.7, 204.9, 208]</t>
    </r>
  </si>
  <si>
    <t>[3.6, 7.4, 10.6, 12.2]</t>
  </si>
  <si>
    <t>[175, 174.9, 175.2, 175]</t>
  </si>
  <si>
    <t>[3.8, 6.5, 7.7, 7.9]</t>
  </si>
  <si>
    <t>[195, 195, 195, 195]</t>
  </si>
  <si>
    <t>[28.3, 29, 29.7, 30.4]</t>
  </si>
  <si>
    <t>[18.7, 20.2, 21.2, 22.1]</t>
  </si>
  <si>
    <t>[195.1, 195.2, 194.9, 194.9]</t>
  </si>
  <si>
    <t>[175.1, 175.1, 175, 176.3]</t>
  </si>
  <si>
    <t>[3.6, 8, 12.2, 15.9]</t>
  </si>
  <si>
    <t>[4.7, 8.5, 12.8, 16.9]</t>
  </si>
  <si>
    <t>Critical field T dependance</t>
  </si>
  <si>
    <r>
      <rPr>
        <sz val="12"/>
        <rFont val="Calibri"/>
        <family val="2"/>
      </rPr>
      <t>Δ</t>
    </r>
    <r>
      <rPr>
        <sz val="12"/>
        <rFont val="Arial"/>
        <family val="2"/>
      </rPr>
      <t>S vs. H</t>
    </r>
  </si>
  <si>
    <r>
      <t>ΔT</t>
    </r>
    <r>
      <rPr>
        <vertAlign val="subscript"/>
        <sz val="12"/>
        <rFont val="Arial"/>
        <family val="2"/>
      </rPr>
      <t>ad</t>
    </r>
    <r>
      <rPr>
        <sz val="12"/>
        <rFont val="Arial"/>
        <family val="2"/>
      </rPr>
      <t xml:space="preserve"> vs H</t>
    </r>
  </si>
  <si>
    <t>[18.3, 19.9, 21.1, 22.1, 22.8]</t>
  </si>
  <si>
    <t>[4, 7.7, 12.1, 15.9, 19.8]</t>
  </si>
  <si>
    <t>[3.9, 6.4, 7.6, 8.1, 8.5]</t>
  </si>
  <si>
    <t>[2, 3, 4, 5]</t>
  </si>
  <si>
    <t>[4.7, 7.4, 9.8, 12.6]</t>
  </si>
  <si>
    <t>[19.9, 22.7, 23.8, 22.9]</t>
  </si>
  <si>
    <t>[210.8, 210.3, 210.6, 210.4]</t>
  </si>
  <si>
    <t>[4.6, 6.3, 7.8, 9.7]</t>
  </si>
  <si>
    <t>[34.3, 37.8, 40.6, 41]</t>
  </si>
  <si>
    <t>[14.3, 17.2, 18.8, 19.8, 20.8]</t>
  </si>
  <si>
    <t>[195.6, 195.6, 195.5, 197.5, 199.2]</t>
  </si>
  <si>
    <t>[4.2, 8.5, 12.9, 16.7, 20.3]</t>
  </si>
  <si>
    <t>[22.1, 24.8, 26.7]</t>
  </si>
  <si>
    <t>Hydrogen absorption vs temp, time</t>
  </si>
  <si>
    <t>H vs. S</t>
  </si>
  <si>
    <t>Hysteresis loss</t>
  </si>
  <si>
    <r>
      <rPr>
        <sz val="12"/>
        <color theme="1"/>
        <rFont val="Calibri"/>
        <family val="2"/>
      </rPr>
      <t>Δ</t>
    </r>
    <r>
      <rPr>
        <sz val="12"/>
        <color theme="1"/>
        <rFont val="Arial"/>
        <family val="2"/>
      </rPr>
      <t>S-Tc for several compounds</t>
    </r>
  </si>
  <si>
    <t>Thys to be taken from either from text or image. Not consistent.</t>
  </si>
  <si>
    <t>[3.6, 5.7]</t>
  </si>
  <si>
    <t>[3.9, 6]</t>
  </si>
  <si>
    <t>[NaN, 80.9, 83, 83.3]</t>
  </si>
  <si>
    <t>[227.9, 228.7, 233.2, 236.8]</t>
  </si>
  <si>
    <t>ΔS data with small number of points, 
high uncertainty</t>
  </si>
  <si>
    <t>[10, 12.8]</t>
  </si>
  <si>
    <t>[18.6, 19.9]</t>
  </si>
  <si>
    <t>[8, 13.7]</t>
  </si>
  <si>
    <t>ΔS values in Fig. 3 are affected by local peaks,
peaks were ignored</t>
  </si>
  <si>
    <t>ΔS values in Fig. 5c are affected by local peaks; the peaks were ignored</t>
  </si>
  <si>
    <t>ID</t>
  </si>
  <si>
    <t>La</t>
  </si>
  <si>
    <t>1:13 Total</t>
  </si>
  <si>
    <r>
      <rPr>
        <b/>
        <sz val="14"/>
        <color theme="1"/>
        <rFont val="Arial"/>
        <family val="2"/>
      </rPr>
      <t xml:space="preserve">Ann. Time </t>
    </r>
    <r>
      <rPr>
        <sz val="14"/>
        <color theme="1"/>
        <rFont val="Arial"/>
        <family val="2"/>
      </rPr>
      <t>(h)</t>
    </r>
  </si>
  <si>
    <r>
      <rPr>
        <b/>
        <sz val="14"/>
        <color theme="1"/>
        <rFont val="Arial"/>
        <family val="2"/>
      </rPr>
      <t xml:space="preserve">Ann. Temp. </t>
    </r>
    <r>
      <rPr>
        <sz val="14"/>
        <color theme="1"/>
        <rFont val="Arial"/>
        <family val="2"/>
      </rPr>
      <t>(K)</t>
    </r>
  </si>
  <si>
    <r>
      <rPr>
        <b/>
        <sz val="14"/>
        <color theme="1"/>
        <rFont val="Arial"/>
        <family val="2"/>
      </rPr>
      <t>NaZn</t>
    </r>
    <r>
      <rPr>
        <b/>
        <vertAlign val="subscript"/>
        <sz val="14"/>
        <color theme="1"/>
        <rFont val="Arial"/>
        <family val="2"/>
      </rPr>
      <t xml:space="preserve">13 </t>
    </r>
    <r>
      <rPr>
        <sz val="14"/>
        <color theme="1"/>
        <rFont val="Arial"/>
        <family val="2"/>
      </rPr>
      <t>(%)</t>
    </r>
  </si>
  <si>
    <r>
      <rPr>
        <b/>
        <sz val="14"/>
        <color theme="1"/>
        <rFont val="Arial"/>
        <family val="2"/>
      </rPr>
      <t xml:space="preserve">α-Fe </t>
    </r>
    <r>
      <rPr>
        <sz val="14"/>
        <color theme="1"/>
        <rFont val="Arial"/>
        <family val="2"/>
      </rPr>
      <t>(%)</t>
    </r>
  </si>
  <si>
    <r>
      <rPr>
        <b/>
        <sz val="14"/>
        <color theme="1"/>
        <rFont val="Arial"/>
        <family val="2"/>
      </rPr>
      <t xml:space="preserve">LaFeSi </t>
    </r>
    <r>
      <rPr>
        <sz val="14"/>
        <color theme="1"/>
        <rFont val="Arial"/>
        <family val="2"/>
      </rPr>
      <t>(%)</t>
    </r>
  </si>
  <si>
    <r>
      <t>La</t>
    </r>
    <r>
      <rPr>
        <b/>
        <vertAlign val="subscript"/>
        <sz val="14"/>
        <color theme="1"/>
        <rFont val="Arial"/>
        <family val="2"/>
      </rPr>
      <t>2</t>
    </r>
    <r>
      <rPr>
        <b/>
        <sz val="14"/>
        <color theme="1"/>
        <rFont val="Arial"/>
        <family val="2"/>
      </rPr>
      <t>Fe</t>
    </r>
    <r>
      <rPr>
        <b/>
        <vertAlign val="subscript"/>
        <sz val="14"/>
        <color theme="1"/>
        <rFont val="Arial"/>
        <family val="2"/>
      </rPr>
      <t xml:space="preserve">17 </t>
    </r>
    <r>
      <rPr>
        <sz val="14"/>
        <color theme="1"/>
        <rFont val="Arial"/>
        <family val="2"/>
      </rPr>
      <t>(%)</t>
    </r>
  </si>
  <si>
    <r>
      <rPr>
        <b/>
        <sz val="14"/>
        <color theme="1"/>
        <rFont val="Arial"/>
        <family val="2"/>
      </rPr>
      <t>La</t>
    </r>
    <r>
      <rPr>
        <b/>
        <vertAlign val="subscript"/>
        <sz val="14"/>
        <color theme="1"/>
        <rFont val="Arial"/>
        <family val="2"/>
      </rPr>
      <t>5</t>
    </r>
    <r>
      <rPr>
        <b/>
        <sz val="14"/>
        <color theme="1"/>
        <rFont val="Arial"/>
        <family val="2"/>
      </rPr>
      <t>Si</t>
    </r>
    <r>
      <rPr>
        <b/>
        <vertAlign val="subscript"/>
        <sz val="14"/>
        <color theme="1"/>
        <rFont val="Arial"/>
        <family val="2"/>
      </rPr>
      <t xml:space="preserve">3 </t>
    </r>
    <r>
      <rPr>
        <sz val="14"/>
        <color theme="1"/>
        <rFont val="Arial"/>
        <family val="2"/>
      </rPr>
      <t>(%)</t>
    </r>
  </si>
  <si>
    <r>
      <rPr>
        <b/>
        <sz val="14"/>
        <color theme="1"/>
        <rFont val="Arial"/>
        <family val="2"/>
      </rPr>
      <t xml:space="preserve">La-rich </t>
    </r>
    <r>
      <rPr>
        <sz val="14"/>
        <color theme="1"/>
        <rFont val="Arial"/>
        <family val="2"/>
      </rPr>
      <t>(%)</t>
    </r>
  </si>
  <si>
    <r>
      <rPr>
        <b/>
        <sz val="14"/>
        <color theme="1"/>
        <rFont val="Arial"/>
        <family val="2"/>
      </rPr>
      <t>La(OH)</t>
    </r>
    <r>
      <rPr>
        <b/>
        <vertAlign val="subscript"/>
        <sz val="14"/>
        <color theme="1"/>
        <rFont val="Arial"/>
        <family val="2"/>
      </rPr>
      <t xml:space="preserve">3 </t>
    </r>
    <r>
      <rPr>
        <sz val="14"/>
        <color theme="1"/>
        <rFont val="Arial"/>
        <family val="2"/>
      </rPr>
      <t>(%)</t>
    </r>
  </si>
  <si>
    <r>
      <rPr>
        <b/>
        <sz val="14"/>
        <color theme="1"/>
        <rFont val="Arial"/>
        <family val="2"/>
      </rPr>
      <t xml:space="preserve">Fe-O </t>
    </r>
    <r>
      <rPr>
        <sz val="14"/>
        <color theme="1"/>
        <rFont val="Arial"/>
        <family val="2"/>
      </rPr>
      <t>(%)</t>
    </r>
  </si>
  <si>
    <r>
      <rPr>
        <b/>
        <sz val="14"/>
        <color theme="1"/>
        <rFont val="Arial"/>
        <family val="2"/>
      </rPr>
      <t xml:space="preserve">La-O </t>
    </r>
    <r>
      <rPr>
        <sz val="14"/>
        <color theme="1"/>
        <rFont val="Arial"/>
        <family val="2"/>
      </rPr>
      <t>(%)</t>
    </r>
  </si>
  <si>
    <r>
      <t xml:space="preserve">Total </t>
    </r>
    <r>
      <rPr>
        <sz val="14"/>
        <color theme="1"/>
        <rFont val="Arial"/>
        <family val="2"/>
      </rPr>
      <t>(%)</t>
    </r>
  </si>
  <si>
    <r>
      <rPr>
        <b/>
        <i/>
        <sz val="14"/>
        <color theme="1"/>
        <rFont val="Arial"/>
        <family val="2"/>
      </rPr>
      <t>a</t>
    </r>
    <r>
      <rPr>
        <b/>
        <sz val="14"/>
        <color theme="1"/>
        <rFont val="Arial"/>
        <family val="2"/>
      </rPr>
      <t xml:space="preserve">@PM </t>
    </r>
    <r>
      <rPr>
        <sz val="14"/>
        <color theme="1"/>
        <rFont val="Arial"/>
        <family val="2"/>
      </rPr>
      <t>(Å)</t>
    </r>
  </si>
  <si>
    <r>
      <rPr>
        <b/>
        <i/>
        <sz val="14"/>
        <color theme="1"/>
        <rFont val="Arial"/>
        <family val="2"/>
      </rPr>
      <t>a</t>
    </r>
    <r>
      <rPr>
        <b/>
        <sz val="14"/>
        <color theme="1"/>
        <rFont val="Arial"/>
        <family val="2"/>
      </rPr>
      <t xml:space="preserve">@FM </t>
    </r>
    <r>
      <rPr>
        <sz val="14"/>
        <color theme="1"/>
        <rFont val="Arial"/>
        <family val="2"/>
      </rPr>
      <t>(Å)</t>
    </r>
  </si>
  <si>
    <r>
      <rPr>
        <b/>
        <i/>
        <sz val="14"/>
        <color theme="1"/>
        <rFont val="Arial"/>
        <family val="2"/>
      </rPr>
      <t>T</t>
    </r>
    <r>
      <rPr>
        <b/>
        <i/>
        <vertAlign val="subscript"/>
        <sz val="14"/>
        <color theme="1"/>
        <rFont val="Arial"/>
        <family val="2"/>
      </rPr>
      <t xml:space="preserve">tr </t>
    </r>
    <r>
      <rPr>
        <sz val="14"/>
        <color theme="1"/>
        <rFont val="Arial"/>
        <family val="2"/>
      </rPr>
      <t>(K)</t>
    </r>
  </si>
  <si>
    <r>
      <rPr>
        <b/>
        <sz val="14"/>
        <color theme="1"/>
        <rFont val="Arial"/>
        <family val="2"/>
      </rPr>
      <t>Δ</t>
    </r>
    <r>
      <rPr>
        <b/>
        <i/>
        <sz val="14"/>
        <color theme="1"/>
        <rFont val="Arial"/>
        <family val="2"/>
      </rPr>
      <t>T</t>
    </r>
    <r>
      <rPr>
        <b/>
        <i/>
        <vertAlign val="subscript"/>
        <sz val="14"/>
        <color theme="1"/>
        <rFont val="Arial"/>
        <family val="2"/>
      </rPr>
      <t xml:space="preserve">hys </t>
    </r>
    <r>
      <rPr>
        <sz val="14"/>
        <color theme="1"/>
        <rFont val="Arial"/>
        <family val="2"/>
      </rPr>
      <t>(K)</t>
    </r>
  </si>
  <si>
    <r>
      <rPr>
        <b/>
        <i/>
        <sz val="14"/>
        <color theme="1"/>
        <rFont val="Arial"/>
        <family val="2"/>
      </rPr>
      <t>H</t>
    </r>
    <r>
      <rPr>
        <b/>
        <i/>
        <vertAlign val="subscript"/>
        <sz val="14"/>
        <color theme="1"/>
        <rFont val="Arial"/>
        <family val="2"/>
      </rPr>
      <t xml:space="preserve">tr </t>
    </r>
    <r>
      <rPr>
        <sz val="14"/>
        <color theme="1"/>
        <rFont val="Arial"/>
        <family val="2"/>
      </rPr>
      <t>(T)</t>
    </r>
  </si>
  <si>
    <r>
      <rPr>
        <b/>
        <i/>
        <sz val="14"/>
        <color theme="1"/>
        <rFont val="Arial"/>
        <family val="2"/>
      </rPr>
      <t>H</t>
    </r>
    <r>
      <rPr>
        <b/>
        <i/>
        <vertAlign val="subscript"/>
        <sz val="14"/>
        <color theme="1"/>
        <rFont val="Arial"/>
        <family val="2"/>
      </rPr>
      <t xml:space="preserve">S </t>
    </r>
    <r>
      <rPr>
        <sz val="14"/>
        <color theme="1"/>
        <rFont val="Arial"/>
        <family val="2"/>
      </rPr>
      <t>(T)</t>
    </r>
  </si>
  <si>
    <r>
      <t>|Δ</t>
    </r>
    <r>
      <rPr>
        <b/>
        <i/>
        <sz val="14"/>
        <color theme="1"/>
        <rFont val="Arial"/>
        <family val="2"/>
      </rPr>
      <t>S</t>
    </r>
    <r>
      <rPr>
        <b/>
        <i/>
        <vertAlign val="subscript"/>
        <sz val="14"/>
        <color theme="1"/>
        <rFont val="Arial"/>
        <family val="2"/>
      </rPr>
      <t>M</t>
    </r>
    <r>
      <rPr>
        <b/>
        <sz val="14"/>
        <color theme="1"/>
        <rFont val="Arial"/>
        <family val="2"/>
      </rPr>
      <t>|</t>
    </r>
    <r>
      <rPr>
        <b/>
        <vertAlign val="subscript"/>
        <sz val="14"/>
        <color theme="1"/>
        <rFont val="Arial"/>
        <family val="2"/>
      </rPr>
      <t xml:space="preserve">max </t>
    </r>
    <r>
      <rPr>
        <sz val="14"/>
        <color theme="1"/>
        <rFont val="Arial"/>
        <family val="2"/>
      </rPr>
      <t xml:space="preserve">(J/kg K) </t>
    </r>
  </si>
  <si>
    <r>
      <rPr>
        <b/>
        <i/>
        <sz val="14"/>
        <color theme="1"/>
        <rFont val="Arial"/>
        <family val="2"/>
      </rPr>
      <t>T</t>
    </r>
    <r>
      <rPr>
        <b/>
        <sz val="14"/>
        <color theme="1"/>
        <rFont val="Arial"/>
        <family val="2"/>
      </rPr>
      <t>@|Δ</t>
    </r>
    <r>
      <rPr>
        <b/>
        <i/>
        <sz val="14"/>
        <color theme="1"/>
        <rFont val="Arial"/>
        <family val="2"/>
      </rPr>
      <t>S</t>
    </r>
    <r>
      <rPr>
        <b/>
        <i/>
        <vertAlign val="subscript"/>
        <sz val="14"/>
        <color theme="1"/>
        <rFont val="Arial"/>
        <family val="2"/>
      </rPr>
      <t>M</t>
    </r>
    <r>
      <rPr>
        <b/>
        <sz val="14"/>
        <color theme="1"/>
        <rFont val="Arial"/>
        <family val="2"/>
      </rPr>
      <t>|</t>
    </r>
    <r>
      <rPr>
        <b/>
        <vertAlign val="subscript"/>
        <sz val="14"/>
        <color theme="1"/>
        <rFont val="Arial"/>
        <family val="2"/>
      </rPr>
      <t xml:space="preserve">max </t>
    </r>
    <r>
      <rPr>
        <sz val="14"/>
        <color theme="1"/>
        <rFont val="Arial"/>
        <family val="2"/>
      </rPr>
      <t>(K)</t>
    </r>
  </si>
  <si>
    <r>
      <t>Δ</t>
    </r>
    <r>
      <rPr>
        <b/>
        <i/>
        <sz val="14"/>
        <color theme="1"/>
        <rFont val="Arial"/>
        <family val="2"/>
      </rPr>
      <t>S</t>
    </r>
    <r>
      <rPr>
        <b/>
        <i/>
        <vertAlign val="subscript"/>
        <sz val="14"/>
        <color theme="1"/>
        <rFont val="Arial"/>
        <family val="2"/>
      </rPr>
      <t>M</t>
    </r>
    <r>
      <rPr>
        <b/>
        <sz val="14"/>
        <color theme="1"/>
        <rFont val="Arial"/>
        <family val="2"/>
      </rPr>
      <t xml:space="preserve"> FWHM </t>
    </r>
    <r>
      <rPr>
        <sz val="14"/>
        <color theme="1"/>
        <rFont val="Arial"/>
        <family val="2"/>
      </rPr>
      <t>(K)</t>
    </r>
  </si>
  <si>
    <r>
      <rPr>
        <b/>
        <i/>
        <sz val="14"/>
        <color theme="1"/>
        <rFont val="Arial"/>
        <family val="2"/>
      </rPr>
      <t>H</t>
    </r>
    <r>
      <rPr>
        <b/>
        <i/>
        <vertAlign val="subscript"/>
        <sz val="14"/>
        <color theme="1"/>
        <rFont val="Arial"/>
        <family val="2"/>
      </rPr>
      <t xml:space="preserve">ad </t>
    </r>
    <r>
      <rPr>
        <sz val="14"/>
        <color theme="1"/>
        <rFont val="Arial"/>
        <family val="2"/>
      </rPr>
      <t>(T)</t>
    </r>
  </si>
  <si>
    <r>
      <t>|Δ</t>
    </r>
    <r>
      <rPr>
        <b/>
        <i/>
        <sz val="14"/>
        <color theme="1"/>
        <rFont val="Arial"/>
        <family val="2"/>
      </rPr>
      <t>T</t>
    </r>
    <r>
      <rPr>
        <b/>
        <i/>
        <vertAlign val="subscript"/>
        <sz val="14"/>
        <color theme="1"/>
        <rFont val="Arial"/>
        <family val="2"/>
      </rPr>
      <t>ad</t>
    </r>
    <r>
      <rPr>
        <b/>
        <sz val="14"/>
        <color theme="1"/>
        <rFont val="Arial"/>
        <family val="2"/>
      </rPr>
      <t>|</t>
    </r>
    <r>
      <rPr>
        <b/>
        <vertAlign val="subscript"/>
        <sz val="14"/>
        <color theme="1"/>
        <rFont val="Arial"/>
        <family val="2"/>
      </rPr>
      <t xml:space="preserve">max </t>
    </r>
    <r>
      <rPr>
        <sz val="14"/>
        <color theme="1"/>
        <rFont val="Arial"/>
        <family val="2"/>
      </rPr>
      <t>(K)</t>
    </r>
  </si>
  <si>
    <r>
      <rPr>
        <b/>
        <i/>
        <sz val="14"/>
        <color theme="1"/>
        <rFont val="Arial"/>
        <family val="2"/>
      </rPr>
      <t>T</t>
    </r>
    <r>
      <rPr>
        <b/>
        <sz val="14"/>
        <color theme="1"/>
        <rFont val="Arial"/>
        <family val="2"/>
      </rPr>
      <t>@|Δ</t>
    </r>
    <r>
      <rPr>
        <b/>
        <i/>
        <sz val="14"/>
        <color theme="1"/>
        <rFont val="Arial"/>
        <family val="2"/>
      </rPr>
      <t>T</t>
    </r>
    <r>
      <rPr>
        <b/>
        <i/>
        <vertAlign val="subscript"/>
        <sz val="14"/>
        <color theme="1"/>
        <rFont val="Arial"/>
        <family val="2"/>
      </rPr>
      <t>ad</t>
    </r>
    <r>
      <rPr>
        <b/>
        <sz val="14"/>
        <color theme="1"/>
        <rFont val="Arial"/>
        <family val="2"/>
      </rPr>
      <t>|</t>
    </r>
    <r>
      <rPr>
        <b/>
        <vertAlign val="subscript"/>
        <sz val="14"/>
        <color theme="1"/>
        <rFont val="Arial"/>
        <family val="2"/>
      </rPr>
      <t>max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(K)</t>
    </r>
  </si>
  <si>
    <r>
      <t xml:space="preserve">Density </t>
    </r>
    <r>
      <rPr>
        <sz val="14"/>
        <color theme="1"/>
        <rFont val="Arial"/>
        <family val="2"/>
      </rPr>
      <t>(g/cm</t>
    </r>
    <r>
      <rPr>
        <vertAlign val="superscript"/>
        <sz val="14"/>
        <color theme="1"/>
        <rFont val="Arial"/>
        <family val="2"/>
      </rPr>
      <t>3</t>
    </r>
    <r>
      <rPr>
        <sz val="14"/>
        <color theme="1"/>
        <rFont val="Arial"/>
        <family val="2"/>
      </rPr>
      <t>)</t>
    </r>
  </si>
  <si>
    <t>La(1-x)PrxFe11.5Si1.5</t>
  </si>
  <si>
    <t>La(1-x)NdxFe11.5Si1.5</t>
  </si>
  <si>
    <t>La(1-x)CexFe11.5Si1.5</t>
  </si>
  <si>
    <t>[NaN, 188.9]</t>
  </si>
  <si>
    <t>[195, 195, 194.8, 195]</t>
  </si>
  <si>
    <t>[215.2, 215.2, 215.2, 215.4]</t>
  </si>
  <si>
    <t>[250.1, 250.8, 250.9, 251.8]</t>
  </si>
  <si>
    <t>[24, 28]</t>
  </si>
  <si>
    <t>[7.1, 15.4]</t>
  </si>
  <si>
    <t>[179.5, 179.6, 181.5]</t>
  </si>
  <si>
    <t>[25.3, 29.1]</t>
  </si>
  <si>
    <t>[185.1, 193.2]</t>
  </si>
  <si>
    <t>2T data is taken from 634</t>
  </si>
  <si>
    <t>[6.0, 11.1, 14.6, 15.7]</t>
  </si>
  <si>
    <t>[5.53, 12.15, 14.87, 14.87, 15.02, 15.69, 15.89]</t>
  </si>
  <si>
    <r>
      <rPr>
        <b/>
        <sz val="14"/>
        <color theme="1"/>
        <rFont val="Arial"/>
        <family val="2"/>
      </rPr>
      <t xml:space="preserve">isoT/isoH </t>
    </r>
    <r>
      <rPr>
        <sz val="14"/>
        <color theme="1"/>
        <rFont val="Arial"/>
        <family val="2"/>
      </rPr>
      <t>[1/0]</t>
    </r>
  </si>
  <si>
    <r>
      <rPr>
        <b/>
        <sz val="14"/>
        <color theme="1"/>
        <rFont val="Arial"/>
        <family val="2"/>
      </rPr>
      <t xml:space="preserve">vol./wt. </t>
    </r>
    <r>
      <rPr>
        <sz val="14"/>
        <color theme="1"/>
        <rFont val="Arial"/>
        <family val="2"/>
      </rPr>
      <t>[1/0]</t>
    </r>
  </si>
  <si>
    <t>[7.3, 9.1, 12.9, 17.2, 21.4, 25.4]</t>
  </si>
  <si>
    <t>[19.2, 23.1, 27.5, 34]</t>
  </si>
  <si>
    <t>[10.66, 16.77, 18.2, 19.17]</t>
  </si>
  <si>
    <t>[22, 22.3, 24.6, 25.1]</t>
  </si>
  <si>
    <t>[NaN, 25.1]</t>
  </si>
  <si>
    <t>[10.3, 23]</t>
  </si>
  <si>
    <t>[10, 21.2]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</si>
</sst>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3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rgb="FF2E2E2E"/>
      <name val="Arial"/>
      <family val="2"/>
    </font>
    <font>
      <b/>
      <vertAlign val="subscript"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i/>
      <vertAlign val="subscript"/>
      <sz val="14"/>
      <color theme="1"/>
      <name val="Arial"/>
      <family val="2"/>
    </font>
    <font>
      <vertAlign val="superscript"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6"/>
      <name val="Arial"/>
      <family val="2"/>
    </font>
    <font>
      <sz val="11"/>
      <color rgb="FF9C0006"/>
      <name val="Calibri"/>
      <family val="2"/>
      <scheme val="minor"/>
    </font>
    <font>
      <sz val="13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u/>
      <sz val="12"/>
      <color theme="1"/>
      <name val="Arial"/>
      <family val="2"/>
    </font>
    <font>
      <sz val="12"/>
      <color rgb="FFFF0000"/>
      <name val="Arial"/>
      <family val="2"/>
    </font>
    <font>
      <vertAlign val="subscript"/>
      <sz val="12"/>
      <color theme="1"/>
      <name val="Arial"/>
      <family val="2"/>
    </font>
    <font>
      <sz val="12"/>
      <name val="Calibri"/>
      <family val="2"/>
    </font>
    <font>
      <vertAlign val="subscript"/>
      <sz val="12"/>
      <name val="Arial"/>
      <family val="2"/>
    </font>
    <font>
      <sz val="12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7CE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4" borderId="0" applyNumberFormat="0" applyBorder="0" applyAlignment="0" applyProtection="0"/>
    <xf numFmtId="43" fontId="4" fillId="0" borderId="0" applyFont="0" applyFill="0" applyBorder="0" applyAlignment="0" applyProtection="0"/>
    <xf numFmtId="0" fontId="20" fillId="10" borderId="0" applyNumberFormat="0" applyBorder="0" applyAlignment="0" applyProtection="0"/>
  </cellStyleXfs>
  <cellXfs count="278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8" xfId="0" applyFont="1" applyBorder="1"/>
    <xf numFmtId="0" fontId="5" fillId="0" borderId="2" xfId="0" applyFont="1" applyBorder="1"/>
    <xf numFmtId="0" fontId="5" fillId="0" borderId="11" xfId="0" applyFont="1" applyBorder="1"/>
    <xf numFmtId="0" fontId="9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2" fontId="5" fillId="0" borderId="0" xfId="0" applyNumberFormat="1" applyFont="1"/>
    <xf numFmtId="0" fontId="9" fillId="0" borderId="0" xfId="0" applyFont="1" applyAlignment="1">
      <alignment horizontal="left" vertical="center" indent="2"/>
    </xf>
    <xf numFmtId="0" fontId="9" fillId="0" borderId="8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2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/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/>
    <xf numFmtId="0" fontId="6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indent="1"/>
    </xf>
    <xf numFmtId="2" fontId="5" fillId="0" borderId="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2" xfId="0" applyNumberFormat="1" applyFont="1" applyBorder="1"/>
    <xf numFmtId="2" fontId="5" fillId="0" borderId="13" xfId="0" applyNumberFormat="1" applyFont="1" applyBorder="1"/>
    <xf numFmtId="0" fontId="6" fillId="0" borderId="13" xfId="0" applyFont="1" applyBorder="1"/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5" fillId="7" borderId="0" xfId="0" applyFont="1" applyFill="1"/>
    <xf numFmtId="0" fontId="9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5" fillId="7" borderId="8" xfId="0" applyFont="1" applyFill="1" applyBorder="1"/>
    <xf numFmtId="0" fontId="8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20" fontId="8" fillId="8" borderId="16" xfId="0" applyNumberFormat="1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12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7" borderId="5" xfId="0" applyFont="1" applyFill="1" applyBorder="1" applyAlignment="1">
      <alignment horizontal="left" vertical="center" indent="1"/>
    </xf>
    <xf numFmtId="0" fontId="9" fillId="0" borderId="17" xfId="0" applyFont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2" fontId="23" fillId="0" borderId="2" xfId="0" applyNumberFormat="1" applyFont="1" applyBorder="1" applyAlignment="1">
      <alignment horizontal="center" vertical="center"/>
    </xf>
    <xf numFmtId="2" fontId="23" fillId="0" borderId="13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2" fontId="11" fillId="0" borderId="1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0" fontId="5" fillId="7" borderId="5" xfId="0" applyFont="1" applyFill="1" applyBorder="1"/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left" vertical="center" indent="1"/>
    </xf>
    <xf numFmtId="2" fontId="5" fillId="0" borderId="7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25" fillId="0" borderId="2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2" fontId="11" fillId="0" borderId="13" xfId="0" applyNumberFormat="1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2" fontId="11" fillId="0" borderId="15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/>
    </xf>
    <xf numFmtId="2" fontId="23" fillId="0" borderId="17" xfId="0" applyNumberFormat="1" applyFont="1" applyBorder="1" applyAlignment="1">
      <alignment horizontal="center" vertical="center"/>
    </xf>
    <xf numFmtId="2" fontId="23" fillId="0" borderId="15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 indent="1"/>
    </xf>
    <xf numFmtId="49" fontId="22" fillId="0" borderId="0" xfId="0" applyNumberFormat="1" applyFont="1" applyAlignment="1">
      <alignment horizontal="left" vertical="center" indent="1"/>
    </xf>
    <xf numFmtId="49" fontId="22" fillId="0" borderId="0" xfId="0" applyNumberFormat="1" applyFont="1" applyAlignment="1">
      <alignment horizontal="left" vertical="center" wrapText="1" indent="1"/>
    </xf>
    <xf numFmtId="0" fontId="9" fillId="0" borderId="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49" fontId="22" fillId="0" borderId="13" xfId="0" applyNumberFormat="1" applyFont="1" applyBorder="1" applyAlignment="1">
      <alignment horizontal="center" vertical="center" wrapText="1"/>
    </xf>
    <xf numFmtId="49" fontId="22" fillId="0" borderId="8" xfId="0" applyNumberFormat="1" applyFont="1" applyBorder="1" applyAlignment="1">
      <alignment horizontal="left" vertical="center" indent="1"/>
    </xf>
    <xf numFmtId="2" fontId="23" fillId="0" borderId="8" xfId="0" applyNumberFormat="1" applyFont="1" applyBorder="1" applyAlignment="1">
      <alignment horizontal="center" vertical="center"/>
    </xf>
    <xf numFmtId="2" fontId="23" fillId="0" borderId="9" xfId="0" applyNumberFormat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49" fontId="22" fillId="0" borderId="11" xfId="0" applyNumberFormat="1" applyFont="1" applyBorder="1" applyAlignment="1">
      <alignment horizontal="left" vertical="center" indent="1"/>
    </xf>
    <xf numFmtId="2" fontId="23" fillId="0" borderId="11" xfId="0" applyNumberFormat="1" applyFont="1" applyBorder="1" applyAlignment="1">
      <alignment horizontal="center" vertical="center"/>
    </xf>
    <xf numFmtId="2" fontId="23" fillId="0" borderId="12" xfId="0" applyNumberFormat="1" applyFont="1" applyBorder="1" applyAlignment="1">
      <alignment horizontal="center" vertical="center"/>
    </xf>
    <xf numFmtId="2" fontId="23" fillId="0" borderId="5" xfId="0" applyNumberFormat="1" applyFont="1" applyBorder="1" applyAlignment="1">
      <alignment horizontal="center" vertical="center"/>
    </xf>
    <xf numFmtId="2" fontId="23" fillId="0" borderId="6" xfId="0" applyNumberFormat="1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indent="1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1" xfId="0" applyFont="1" applyBorder="1" applyAlignment="1">
      <alignment horizontal="left" vertical="center" indent="1"/>
    </xf>
    <xf numFmtId="49" fontId="22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0" xfId="0" applyFont="1"/>
    <xf numFmtId="0" fontId="22" fillId="0" borderId="8" xfId="0" applyFont="1" applyBorder="1" applyAlignment="1">
      <alignment horizontal="left" vertical="center" indent="1"/>
    </xf>
    <xf numFmtId="49" fontId="22" fillId="0" borderId="8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left" vertical="center"/>
    </xf>
    <xf numFmtId="0" fontId="22" fillId="0" borderId="8" xfId="0" applyFont="1" applyBorder="1"/>
    <xf numFmtId="0" fontId="21" fillId="0" borderId="11" xfId="0" applyFont="1" applyBorder="1" applyAlignment="1">
      <alignment horizontal="left" vertical="center"/>
    </xf>
    <xf numFmtId="0" fontId="22" fillId="0" borderId="11" xfId="0" applyFont="1" applyBorder="1"/>
    <xf numFmtId="49" fontId="22" fillId="0" borderId="11" xfId="0" applyNumberFormat="1" applyFont="1" applyBorder="1" applyAlignment="1">
      <alignment horizontal="center" vertical="center"/>
    </xf>
    <xf numFmtId="2" fontId="23" fillId="0" borderId="7" xfId="0" applyNumberFormat="1" applyFont="1" applyBorder="1" applyAlignment="1">
      <alignment horizontal="center" vertical="center"/>
    </xf>
    <xf numFmtId="2" fontId="23" fillId="0" borderId="10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6" fillId="9" borderId="1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6" fillId="0" borderId="0" xfId="0" applyFont="1"/>
    <xf numFmtId="0" fontId="9" fillId="0" borderId="2" xfId="12" applyFont="1" applyFill="1" applyBorder="1" applyAlignment="1">
      <alignment horizontal="center" vertical="center" wrapText="1"/>
    </xf>
    <xf numFmtId="0" fontId="9" fillId="0" borderId="2" xfId="12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center" wrapText="1" indent="1"/>
    </xf>
    <xf numFmtId="0" fontId="25" fillId="0" borderId="5" xfId="0" applyFont="1" applyBorder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2" fillId="0" borderId="17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left" vertical="center" indent="1"/>
    </xf>
    <xf numFmtId="2" fontId="23" fillId="0" borderId="4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5" xfId="0" applyFont="1" applyBorder="1"/>
    <xf numFmtId="0" fontId="25" fillId="0" borderId="5" xfId="0" applyFont="1" applyBorder="1" applyAlignment="1">
      <alignment horizontal="left" vertical="center" wrapText="1" indent="1"/>
    </xf>
    <xf numFmtId="1" fontId="9" fillId="0" borderId="8" xfId="0" applyNumberFormat="1" applyFont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7" xfId="11" applyFont="1" applyFill="1" applyBorder="1" applyAlignment="1">
      <alignment horizontal="center" vertical="center"/>
    </xf>
    <xf numFmtId="0" fontId="10" fillId="0" borderId="1" xfId="1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readingOrder="1"/>
    </xf>
    <xf numFmtId="0" fontId="10" fillId="0" borderId="0" xfId="0" applyFont="1" applyAlignment="1">
      <alignment horizontal="center" vertical="center" readingOrder="1"/>
    </xf>
    <xf numFmtId="0" fontId="10" fillId="0" borderId="11" xfId="0" applyFont="1" applyBorder="1" applyAlignment="1">
      <alignment horizontal="center" vertical="center" readingOrder="1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left" vertical="center" indent="1"/>
    </xf>
    <xf numFmtId="0" fontId="25" fillId="0" borderId="0" xfId="0" applyFont="1" applyAlignment="1">
      <alignment horizontal="left" vertical="center" wrapText="1" indent="1"/>
    </xf>
    <xf numFmtId="0" fontId="25" fillId="0" borderId="8" xfId="0" applyFont="1" applyBorder="1" applyAlignment="1">
      <alignment horizontal="left" vertical="center" wrapText="1" indent="1"/>
    </xf>
    <xf numFmtId="0" fontId="25" fillId="0" borderId="8" xfId="0" applyFont="1" applyBorder="1" applyAlignment="1">
      <alignment horizontal="left" vertical="center" indent="1"/>
    </xf>
    <xf numFmtId="0" fontId="25" fillId="0" borderId="11" xfId="0" applyFont="1" applyBorder="1" applyAlignment="1">
      <alignment horizontal="left" vertical="center" indent="1"/>
    </xf>
    <xf numFmtId="0" fontId="25" fillId="0" borderId="0" xfId="0" applyFont="1" applyAlignment="1">
      <alignment horizontal="left" vertical="center" indent="1"/>
    </xf>
    <xf numFmtId="0" fontId="25" fillId="0" borderId="11" xfId="0" applyFont="1" applyBorder="1" applyAlignment="1">
      <alignment horizontal="left" vertical="center" wrapText="1" indent="1"/>
    </xf>
    <xf numFmtId="49" fontId="22" fillId="0" borderId="14" xfId="0" applyNumberFormat="1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9" fillId="0" borderId="14" xfId="13" applyNumberFormat="1" applyFont="1" applyFill="1" applyBorder="1" applyAlignment="1">
      <alignment horizontal="center" vertical="center" wrapText="1"/>
    </xf>
    <xf numFmtId="0" fontId="9" fillId="0" borderId="13" xfId="13" applyNumberFormat="1" applyFont="1" applyFill="1" applyBorder="1" applyAlignment="1">
      <alignment horizontal="center" vertical="center" wrapText="1"/>
    </xf>
    <xf numFmtId="0" fontId="9" fillId="0" borderId="15" xfId="13" applyNumberFormat="1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10" fillId="0" borderId="13" xfId="14" applyFont="1" applyFill="1" applyBorder="1" applyAlignment="1">
      <alignment horizontal="center" vertical="center"/>
    </xf>
    <xf numFmtId="0" fontId="10" fillId="0" borderId="15" xfId="14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10" fillId="0" borderId="8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9" fillId="0" borderId="11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 indent="1"/>
    </xf>
    <xf numFmtId="0" fontId="9" fillId="0" borderId="10" xfId="0" applyFont="1" applyBorder="1" applyAlignment="1">
      <alignment horizontal="left" vertical="center" indent="1"/>
    </xf>
    <xf numFmtId="0" fontId="10" fillId="0" borderId="8" xfId="14" applyFont="1" applyFill="1" applyBorder="1" applyAlignment="1">
      <alignment horizontal="left" vertical="center" indent="1"/>
    </xf>
    <xf numFmtId="0" fontId="10" fillId="0" borderId="3" xfId="14" applyFont="1" applyFill="1" applyBorder="1" applyAlignment="1">
      <alignment horizontal="left" vertical="center" indent="1"/>
    </xf>
    <xf numFmtId="0" fontId="10" fillId="0" borderId="14" xfId="14" applyFont="1" applyFill="1" applyBorder="1" applyAlignment="1">
      <alignment horizontal="center" vertical="center"/>
    </xf>
    <xf numFmtId="0" fontId="10" fillId="0" borderId="13" xfId="14" applyFont="1" applyFill="1" applyBorder="1" applyAlignment="1">
      <alignment horizontal="center" vertical="center" wrapText="1"/>
    </xf>
    <xf numFmtId="0" fontId="10" fillId="0" borderId="19" xfId="14" applyFont="1" applyFill="1" applyBorder="1" applyAlignment="1">
      <alignment horizontal="left" vertical="center" indent="1"/>
    </xf>
    <xf numFmtId="0" fontId="10" fillId="0" borderId="20" xfId="14" applyFont="1" applyFill="1" applyBorder="1" applyAlignment="1">
      <alignment horizontal="left" vertical="center" indent="1"/>
    </xf>
    <xf numFmtId="0" fontId="10" fillId="0" borderId="21" xfId="14" applyFont="1" applyFill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indent="1"/>
    </xf>
    <xf numFmtId="0" fontId="25" fillId="0" borderId="5" xfId="0" applyFont="1" applyBorder="1" applyAlignment="1">
      <alignment horizontal="left" vertical="center" indent="1"/>
    </xf>
    <xf numFmtId="0" fontId="9" fillId="7" borderId="5" xfId="0" applyFont="1" applyFill="1" applyBorder="1" applyAlignment="1">
      <alignment horizontal="left" vertical="center" inden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3" fontId="9" fillId="0" borderId="14" xfId="13" applyFont="1" applyFill="1" applyBorder="1" applyAlignment="1">
      <alignment horizontal="center" vertical="center" wrapText="1"/>
    </xf>
    <xf numFmtId="43" fontId="9" fillId="0" borderId="13" xfId="13" applyFont="1" applyFill="1" applyBorder="1" applyAlignment="1">
      <alignment horizontal="center" vertical="center"/>
    </xf>
    <xf numFmtId="43" fontId="9" fillId="0" borderId="15" xfId="13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9" fontId="22" fillId="0" borderId="8" xfId="0" applyNumberFormat="1" applyFont="1" applyBorder="1" applyAlignment="1">
      <alignment horizontal="left" vertical="center" wrapText="1" indent="1" readingOrder="1"/>
    </xf>
    <xf numFmtId="0" fontId="22" fillId="0" borderId="0" xfId="0" applyFont="1" applyAlignment="1">
      <alignment horizontal="left" vertical="center" indent="1"/>
    </xf>
    <xf numFmtId="0" fontId="22" fillId="0" borderId="11" xfId="0" applyFont="1" applyBorder="1" applyAlignment="1">
      <alignment horizontal="left" vertical="center" indent="1"/>
    </xf>
    <xf numFmtId="49" fontId="22" fillId="0" borderId="8" xfId="0" applyNumberFormat="1" applyFont="1" applyBorder="1" applyAlignment="1">
      <alignment horizontal="left" vertical="center" indent="1" readingOrder="1"/>
    </xf>
    <xf numFmtId="49" fontId="22" fillId="0" borderId="0" xfId="0" applyNumberFormat="1" applyFont="1" applyAlignment="1">
      <alignment horizontal="left" vertical="center" indent="1"/>
    </xf>
  </cellXfs>
  <cellStyles count="15">
    <cellStyle name="60% - Accent6" xfId="12" builtinId="52"/>
    <cellStyle name="Bad" xfId="14" builtinId="27"/>
    <cellStyle name="Comma" xfId="13" builtinId="3"/>
    <cellStyle name="Followed Hyperlink" xfId="10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5" builtinId="8" hidden="1"/>
    <cellStyle name="Hyperlink" xfId="9" builtinId="8" hidden="1"/>
    <cellStyle name="Hyperlink" xfId="7" builtinId="8" hidden="1"/>
    <cellStyle name="Hyperlink" xfId="3" builtinId="8" hidden="1"/>
    <cellStyle name="Hyperlink" xfId="1" builtinId="8" hidden="1"/>
    <cellStyle name="Normal" xfId="0" builtinId="0"/>
    <cellStyle name="Warning Text" xfId="11" builtinId="11"/>
  </cellStyles>
  <dxfs count="0"/>
  <tableStyles count="0" defaultTableStyle="TableStyleMedium2" defaultPivotStyle="PivotStyleLight16"/>
  <colors>
    <mruColors>
      <color rgb="FF33CCFF"/>
      <color rgb="FFFE5C5C"/>
      <color rgb="FFBE7BF1"/>
      <color rgb="FFEB7BB6"/>
      <color rgb="FFFF7979"/>
      <color rgb="FFFA9066"/>
      <color rgb="FFFE8282"/>
      <color rgb="FFFF5050"/>
      <color rgb="FFBD92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3795"/>
  <sheetViews>
    <sheetView tabSelected="1" topLeftCell="N1" zoomScaleNormal="100" workbookViewId="0">
      <pane xSplit="21" ySplit="1" topLeftCell="AI2" activePane="bottomRight" state="frozen"/>
      <selection activeCell="N1" sqref="N1"/>
      <selection pane="topRight" activeCell="AJ1" sqref="AJ1"/>
      <selection pane="bottomLeft" activeCell="N2" sqref="N2"/>
      <selection pane="bottomRight" activeCell="AG3" sqref="N1:AG1048576"/>
    </sheetView>
    <sheetView tabSelected="1" zoomScale="90" zoomScaleNormal="90" workbookViewId="1">
      <pane xSplit="5" ySplit="1" topLeftCell="AC284" activePane="bottomRight" state="frozen"/>
      <selection pane="topRight" activeCell="E1" sqref="E1"/>
      <selection pane="bottomLeft" activeCell="A6" sqref="A6"/>
      <selection pane="bottomRight" activeCell="BB311" sqref="BB311"/>
    </sheetView>
  </sheetViews>
  <sheetFormatPr defaultColWidth="9" defaultRowHeight="18" x14ac:dyDescent="0.25"/>
  <cols>
    <col min="1" max="1" width="9.5703125" style="7" customWidth="1"/>
    <col min="2" max="2" width="13.140625" style="32" bestFit="1" customWidth="1"/>
    <col min="3" max="3" width="48" style="32" bestFit="1" customWidth="1"/>
    <col min="4" max="4" width="52.140625" style="7" customWidth="1"/>
    <col min="5" max="5" width="28.140625" style="11" bestFit="1" customWidth="1"/>
    <col min="6" max="6" width="8.42578125" style="18" customWidth="1"/>
    <col min="7" max="7" width="8.42578125" style="9" customWidth="1"/>
    <col min="8" max="18" width="8.42578125" style="1" customWidth="1"/>
    <col min="19" max="19" width="8.42578125" style="5" customWidth="1"/>
    <col min="20" max="20" width="8.28515625" style="9" customWidth="1"/>
    <col min="21" max="29" width="8.28515625" style="1" customWidth="1"/>
    <col min="30" max="30" width="8.28515625" style="15" customWidth="1"/>
    <col min="31" max="34" width="8.28515625" style="1" customWidth="1"/>
    <col min="35" max="35" width="20.7109375" style="39" bestFit="1" customWidth="1"/>
    <col min="36" max="36" width="13.5703125" style="2" customWidth="1"/>
    <col min="37" max="37" width="15.28515625" style="3" customWidth="1"/>
    <col min="38" max="38" width="10.7109375" style="20" customWidth="1"/>
    <col min="39" max="43" width="10.7109375" style="2" customWidth="1"/>
    <col min="44" max="44" width="11.7109375" style="2" customWidth="1"/>
    <col min="45" max="45" width="10.7109375" style="2" customWidth="1"/>
    <col min="46" max="46" width="10.7109375" style="3" customWidth="1"/>
    <col min="47" max="47" width="10.7109375" style="2" customWidth="1"/>
    <col min="48" max="48" width="10.7109375" style="28" customWidth="1"/>
    <col min="49" max="49" width="10.7109375" style="55" customWidth="1"/>
    <col min="50" max="50" width="10.7109375" style="2" customWidth="1"/>
    <col min="51" max="51" width="8.28515625" style="61" customWidth="1"/>
    <col min="52" max="52" width="9" style="2" bestFit="1" customWidth="1"/>
    <col min="53" max="53" width="8.28515625" style="3" customWidth="1"/>
    <col min="54" max="54" width="31" style="2" bestFit="1" customWidth="1"/>
    <col min="55" max="55" width="50" style="2" bestFit="1" customWidth="1"/>
    <col min="56" max="56" width="49.28515625" style="2" bestFit="1" customWidth="1"/>
    <col min="57" max="57" width="34.28515625" style="2" bestFit="1" customWidth="1"/>
    <col min="58" max="58" width="13.85546875" style="20" bestFit="1" customWidth="1"/>
    <col min="59" max="59" width="23.85546875" style="2" bestFit="1" customWidth="1"/>
    <col min="60" max="60" width="25.7109375" style="3" bestFit="1" customWidth="1"/>
    <col min="61" max="61" width="11.140625" style="167" customWidth="1"/>
    <col min="62" max="62" width="14" style="26" customWidth="1"/>
    <col min="63" max="63" width="49.5703125" style="176" customWidth="1"/>
    <col min="64" max="16384" width="9" style="1"/>
  </cols>
  <sheetData>
    <row r="1" spans="1:65" ht="71.25" customHeight="1" thickBot="1" x14ac:dyDescent="0.25">
      <c r="A1" s="44" t="s">
        <v>1910</v>
      </c>
      <c r="B1" s="40" t="s">
        <v>1509</v>
      </c>
      <c r="C1" s="40" t="s">
        <v>1510</v>
      </c>
      <c r="D1" s="56" t="s">
        <v>1522</v>
      </c>
      <c r="E1" s="56" t="s">
        <v>1521</v>
      </c>
      <c r="F1" s="29" t="s">
        <v>205</v>
      </c>
      <c r="G1" s="30" t="s">
        <v>206</v>
      </c>
      <c r="H1" s="30" t="s">
        <v>207</v>
      </c>
      <c r="I1" s="30" t="s">
        <v>208</v>
      </c>
      <c r="J1" s="30" t="s">
        <v>209</v>
      </c>
      <c r="K1" s="30" t="s">
        <v>210</v>
      </c>
      <c r="L1" s="30" t="s">
        <v>211</v>
      </c>
      <c r="M1" s="30" t="s">
        <v>212</v>
      </c>
      <c r="N1" s="30" t="s">
        <v>213</v>
      </c>
      <c r="O1" s="30" t="s">
        <v>1442</v>
      </c>
      <c r="P1" s="30" t="s">
        <v>214</v>
      </c>
      <c r="Q1" s="34" t="s">
        <v>1381</v>
      </c>
      <c r="R1" s="30" t="s">
        <v>1382</v>
      </c>
      <c r="S1" s="31" t="s">
        <v>215</v>
      </c>
      <c r="T1" s="34" t="s">
        <v>1911</v>
      </c>
      <c r="U1" s="30" t="s">
        <v>216</v>
      </c>
      <c r="V1" s="30" t="s">
        <v>217</v>
      </c>
      <c r="W1" s="30" t="s">
        <v>218</v>
      </c>
      <c r="X1" s="30" t="s">
        <v>219</v>
      </c>
      <c r="Y1" s="30" t="s">
        <v>220</v>
      </c>
      <c r="Z1" s="30" t="s">
        <v>221</v>
      </c>
      <c r="AA1" s="30" t="s">
        <v>222</v>
      </c>
      <c r="AB1" s="30" t="s">
        <v>1409</v>
      </c>
      <c r="AC1" s="34" t="s">
        <v>223</v>
      </c>
      <c r="AD1" s="46" t="s">
        <v>1912</v>
      </c>
      <c r="AE1" s="34" t="s">
        <v>1737</v>
      </c>
      <c r="AF1" s="30" t="s">
        <v>224</v>
      </c>
      <c r="AG1" s="30" t="s">
        <v>225</v>
      </c>
      <c r="AH1" s="35" t="s">
        <v>226</v>
      </c>
      <c r="AI1" s="57" t="s">
        <v>1532</v>
      </c>
      <c r="AJ1" s="47" t="s">
        <v>1913</v>
      </c>
      <c r="AK1" s="37" t="s">
        <v>1914</v>
      </c>
      <c r="AL1" s="36" t="s">
        <v>1915</v>
      </c>
      <c r="AM1" s="48" t="s">
        <v>1916</v>
      </c>
      <c r="AN1" s="48" t="s">
        <v>1917</v>
      </c>
      <c r="AO1" s="49" t="s">
        <v>1918</v>
      </c>
      <c r="AP1" s="48" t="s">
        <v>1919</v>
      </c>
      <c r="AQ1" s="48" t="s">
        <v>1920</v>
      </c>
      <c r="AR1" s="48" t="s">
        <v>1921</v>
      </c>
      <c r="AS1" s="48" t="s">
        <v>1922</v>
      </c>
      <c r="AT1" s="160" t="s">
        <v>1923</v>
      </c>
      <c r="AU1" s="161" t="s">
        <v>1954</v>
      </c>
      <c r="AV1" s="163" t="s">
        <v>1924</v>
      </c>
      <c r="AW1" s="162" t="s">
        <v>1925</v>
      </c>
      <c r="AX1" s="165" t="s">
        <v>1926</v>
      </c>
      <c r="AY1" s="53" t="s">
        <v>1929</v>
      </c>
      <c r="AZ1" s="50" t="s">
        <v>1927</v>
      </c>
      <c r="BA1" s="33" t="s">
        <v>1928</v>
      </c>
      <c r="BB1" s="51" t="s">
        <v>1930</v>
      </c>
      <c r="BC1" s="50" t="s">
        <v>1931</v>
      </c>
      <c r="BD1" s="50" t="s">
        <v>1932</v>
      </c>
      <c r="BE1" s="51" t="s">
        <v>1933</v>
      </c>
      <c r="BF1" s="53" t="s">
        <v>1934</v>
      </c>
      <c r="BG1" s="50" t="s">
        <v>1935</v>
      </c>
      <c r="BH1" s="52" t="s">
        <v>1936</v>
      </c>
      <c r="BI1" s="166" t="s">
        <v>1937</v>
      </c>
      <c r="BJ1" s="58" t="s">
        <v>1953</v>
      </c>
      <c r="BK1" s="170" t="s">
        <v>1149</v>
      </c>
      <c r="BM1" s="9"/>
    </row>
    <row r="2" spans="1:65" s="4" customFormat="1" ht="23.25" customHeight="1" x14ac:dyDescent="0.2">
      <c r="A2" s="45">
        <v>1</v>
      </c>
      <c r="B2" s="238">
        <v>2</v>
      </c>
      <c r="C2" s="238" t="s">
        <v>1513</v>
      </c>
      <c r="D2" s="12" t="s">
        <v>0</v>
      </c>
      <c r="E2" s="12"/>
      <c r="F2" s="87">
        <f>11.4/14*100</f>
        <v>81.428571428571431</v>
      </c>
      <c r="G2" s="88">
        <v>11.43</v>
      </c>
      <c r="H2" s="88">
        <v>0</v>
      </c>
      <c r="I2" s="88">
        <v>0</v>
      </c>
      <c r="J2" s="88">
        <v>0</v>
      </c>
      <c r="K2" s="88">
        <v>0</v>
      </c>
      <c r="L2" s="88">
        <v>0</v>
      </c>
      <c r="M2" s="88">
        <v>0</v>
      </c>
      <c r="N2" s="88">
        <v>0</v>
      </c>
      <c r="O2" s="88">
        <v>0</v>
      </c>
      <c r="P2" s="88">
        <v>0</v>
      </c>
      <c r="Q2" s="88">
        <v>0</v>
      </c>
      <c r="R2" s="88">
        <v>0</v>
      </c>
      <c r="S2" s="89">
        <v>0</v>
      </c>
      <c r="T2" s="88">
        <v>7.14</v>
      </c>
      <c r="U2" s="88">
        <v>0</v>
      </c>
      <c r="V2" s="88">
        <v>0</v>
      </c>
      <c r="W2" s="88">
        <v>0</v>
      </c>
      <c r="X2" s="88">
        <v>0</v>
      </c>
      <c r="Y2" s="88">
        <v>0</v>
      </c>
      <c r="Z2" s="88">
        <v>0</v>
      </c>
      <c r="AA2" s="88">
        <v>0</v>
      </c>
      <c r="AB2" s="88">
        <v>0</v>
      </c>
      <c r="AC2" s="88">
        <v>0</v>
      </c>
      <c r="AD2" s="90">
        <f t="shared" ref="AD2:AD65" si="0">SUM(F2:AC2)</f>
        <v>99.998571428571424</v>
      </c>
      <c r="AE2" s="88">
        <v>0</v>
      </c>
      <c r="AF2" s="88">
        <v>0</v>
      </c>
      <c r="AG2" s="88">
        <v>0</v>
      </c>
      <c r="AH2" s="88">
        <v>0</v>
      </c>
      <c r="AI2" s="156" t="s">
        <v>1531</v>
      </c>
      <c r="AJ2" s="45">
        <v>720</v>
      </c>
      <c r="AK2" s="91">
        <v>1273</v>
      </c>
      <c r="AL2" s="197"/>
      <c r="AM2" s="189">
        <v>8</v>
      </c>
      <c r="AN2" s="189"/>
      <c r="AO2" s="189"/>
      <c r="AP2" s="189"/>
      <c r="AQ2" s="189"/>
      <c r="AR2" s="189"/>
      <c r="AS2" s="189"/>
      <c r="AT2" s="198"/>
      <c r="AU2" s="189">
        <v>0</v>
      </c>
      <c r="AV2" s="199">
        <f t="shared" ref="AV2" si="1">SUM(AL2:AT2)</f>
        <v>8</v>
      </c>
      <c r="AW2" s="189">
        <v>11.48</v>
      </c>
      <c r="AX2" s="189">
        <v>11.52</v>
      </c>
      <c r="AY2" s="156">
        <v>0.02</v>
      </c>
      <c r="AZ2" s="45">
        <v>208</v>
      </c>
      <c r="BA2" s="91">
        <v>0</v>
      </c>
      <c r="BB2" s="45" t="s">
        <v>544</v>
      </c>
      <c r="BC2" s="45" t="s">
        <v>545</v>
      </c>
      <c r="BD2" s="185" t="s">
        <v>546</v>
      </c>
      <c r="BE2" s="45" t="s">
        <v>547</v>
      </c>
      <c r="BF2" s="156"/>
      <c r="BG2" s="45"/>
      <c r="BH2" s="91"/>
      <c r="BI2" s="45"/>
      <c r="BJ2" s="67"/>
      <c r="BK2" s="225"/>
    </row>
    <row r="3" spans="1:65" s="6" customFormat="1" ht="23.25" customHeight="1" thickBot="1" x14ac:dyDescent="0.25">
      <c r="A3" s="7">
        <v>2</v>
      </c>
      <c r="B3" s="222"/>
      <c r="C3" s="222"/>
      <c r="D3" s="13" t="s">
        <v>1</v>
      </c>
      <c r="E3" s="13"/>
      <c r="F3" s="80">
        <f>10.4/(1+10.4+2.6)*100</f>
        <v>74.285714285714292</v>
      </c>
      <c r="G3" s="81">
        <f>2.6/(1+10.4+2.6)*100</f>
        <v>18.571428571428573</v>
      </c>
      <c r="H3" s="81">
        <v>0</v>
      </c>
      <c r="I3" s="81">
        <v>0</v>
      </c>
      <c r="J3" s="81">
        <v>0</v>
      </c>
      <c r="K3" s="81">
        <v>0</v>
      </c>
      <c r="L3" s="81">
        <v>0</v>
      </c>
      <c r="M3" s="81">
        <v>0</v>
      </c>
      <c r="N3" s="81">
        <v>0</v>
      </c>
      <c r="O3" s="81">
        <v>0</v>
      </c>
      <c r="P3" s="81">
        <v>0</v>
      </c>
      <c r="Q3" s="81">
        <v>0</v>
      </c>
      <c r="R3" s="81">
        <v>0</v>
      </c>
      <c r="S3" s="82">
        <v>0</v>
      </c>
      <c r="T3" s="81">
        <f>1/(1 + 10.4+2.6)*100</f>
        <v>7.1428571428571423</v>
      </c>
      <c r="U3" s="81">
        <v>0</v>
      </c>
      <c r="V3" s="81">
        <v>0</v>
      </c>
      <c r="W3" s="81">
        <v>0</v>
      </c>
      <c r="X3" s="81">
        <v>0</v>
      </c>
      <c r="Y3" s="81">
        <v>0</v>
      </c>
      <c r="Z3" s="81">
        <v>0</v>
      </c>
      <c r="AA3" s="81">
        <v>0</v>
      </c>
      <c r="AB3" s="81">
        <v>0</v>
      </c>
      <c r="AC3" s="81">
        <v>0</v>
      </c>
      <c r="AD3" s="83">
        <f t="shared" si="0"/>
        <v>100</v>
      </c>
      <c r="AE3" s="81">
        <v>0</v>
      </c>
      <c r="AF3" s="81">
        <v>0</v>
      </c>
      <c r="AG3" s="81">
        <v>0</v>
      </c>
      <c r="AH3" s="81">
        <v>0</v>
      </c>
      <c r="AI3" s="79" t="s">
        <v>1531</v>
      </c>
      <c r="AJ3" s="65">
        <v>720</v>
      </c>
      <c r="AK3" s="78">
        <v>1273</v>
      </c>
      <c r="AL3" s="200"/>
      <c r="AM3" s="190"/>
      <c r="AN3" s="190"/>
      <c r="AO3" s="190"/>
      <c r="AP3" s="190"/>
      <c r="AQ3" s="190"/>
      <c r="AR3" s="190"/>
      <c r="AS3" s="190"/>
      <c r="AT3" s="201"/>
      <c r="AU3" s="190"/>
      <c r="AV3" s="202"/>
      <c r="AW3" s="190">
        <v>11.46</v>
      </c>
      <c r="AX3" s="190">
        <v>11.468</v>
      </c>
      <c r="AY3" s="79">
        <v>0.02</v>
      </c>
      <c r="AZ3" s="65">
        <v>243</v>
      </c>
      <c r="BA3" s="78">
        <v>0</v>
      </c>
      <c r="BB3" s="65">
        <v>2</v>
      </c>
      <c r="BC3" s="65">
        <v>2.4</v>
      </c>
      <c r="BD3" s="65">
        <v>245</v>
      </c>
      <c r="BE3" s="65">
        <v>61.5</v>
      </c>
      <c r="BF3" s="79"/>
      <c r="BG3" s="65"/>
      <c r="BH3" s="78"/>
      <c r="BI3" s="65"/>
      <c r="BJ3" s="68"/>
      <c r="BK3" s="224"/>
    </row>
    <row r="4" spans="1:65" s="4" customFormat="1" ht="23.25" customHeight="1" x14ac:dyDescent="0.2">
      <c r="A4" s="62">
        <v>3</v>
      </c>
      <c r="B4" s="218" t="s">
        <v>1511</v>
      </c>
      <c r="C4" s="218" t="s">
        <v>1512</v>
      </c>
      <c r="D4" s="225" t="s">
        <v>228</v>
      </c>
      <c r="E4" s="12" t="s">
        <v>227</v>
      </c>
      <c r="F4" s="87">
        <f>0.87*13/14*100</f>
        <v>80.785714285714292</v>
      </c>
      <c r="G4" s="88">
        <f>(1 - 0.87)*13/14*100</f>
        <v>12.071428571428571</v>
      </c>
      <c r="H4" s="88">
        <v>0</v>
      </c>
      <c r="I4" s="88">
        <v>0</v>
      </c>
      <c r="J4" s="88">
        <v>0</v>
      </c>
      <c r="K4" s="88">
        <v>0</v>
      </c>
      <c r="L4" s="88">
        <v>0</v>
      </c>
      <c r="M4" s="88">
        <v>0</v>
      </c>
      <c r="N4" s="88">
        <v>0</v>
      </c>
      <c r="O4" s="88">
        <v>0</v>
      </c>
      <c r="P4" s="88">
        <v>0</v>
      </c>
      <c r="Q4" s="88">
        <v>0</v>
      </c>
      <c r="R4" s="88">
        <v>0</v>
      </c>
      <c r="S4" s="89">
        <v>0</v>
      </c>
      <c r="T4" s="88">
        <v>7.14</v>
      </c>
      <c r="U4" s="88">
        <v>0</v>
      </c>
      <c r="V4" s="88">
        <v>0</v>
      </c>
      <c r="W4" s="88">
        <v>0</v>
      </c>
      <c r="X4" s="88">
        <v>0</v>
      </c>
      <c r="Y4" s="88">
        <v>0</v>
      </c>
      <c r="Z4" s="88">
        <v>0</v>
      </c>
      <c r="AA4" s="88">
        <v>0</v>
      </c>
      <c r="AB4" s="88">
        <v>0</v>
      </c>
      <c r="AC4" s="88">
        <v>0</v>
      </c>
      <c r="AD4" s="90">
        <f t="shared" si="0"/>
        <v>99.997142857142862</v>
      </c>
      <c r="AE4" s="88">
        <v>0</v>
      </c>
      <c r="AF4" s="88">
        <v>0</v>
      </c>
      <c r="AG4" s="88">
        <v>0</v>
      </c>
      <c r="AH4" s="88">
        <v>0</v>
      </c>
      <c r="AI4" s="156" t="s">
        <v>1531</v>
      </c>
      <c r="AJ4" s="45">
        <v>240</v>
      </c>
      <c r="AK4" s="91">
        <v>1323</v>
      </c>
      <c r="AL4" s="203"/>
      <c r="AM4" s="189"/>
      <c r="AN4" s="189"/>
      <c r="AO4" s="189"/>
      <c r="AP4" s="189"/>
      <c r="AQ4" s="189"/>
      <c r="AR4" s="189"/>
      <c r="AS4" s="189"/>
      <c r="AT4" s="198"/>
      <c r="AU4" s="189"/>
      <c r="AV4" s="199"/>
      <c r="AW4" s="189"/>
      <c r="AX4" s="189"/>
      <c r="AY4" s="156">
        <v>0.02</v>
      </c>
      <c r="AZ4" s="45">
        <v>208</v>
      </c>
      <c r="BA4" s="91"/>
      <c r="BB4" s="45">
        <v>2</v>
      </c>
      <c r="BC4" s="45">
        <v>14</v>
      </c>
      <c r="BD4" s="45"/>
      <c r="BE4" s="45"/>
      <c r="BF4" s="156"/>
      <c r="BG4" s="45"/>
      <c r="BH4" s="91"/>
      <c r="BI4" s="45"/>
      <c r="BJ4" s="67"/>
      <c r="BK4" s="243" t="s">
        <v>1533</v>
      </c>
    </row>
    <row r="5" spans="1:65" ht="23.25" customHeight="1" x14ac:dyDescent="0.2">
      <c r="A5" s="7">
        <v>4</v>
      </c>
      <c r="B5" s="221"/>
      <c r="C5" s="221"/>
      <c r="D5" s="223"/>
      <c r="E5" s="54" t="s">
        <v>229</v>
      </c>
      <c r="F5" s="16">
        <f>0.88*13/14*100</f>
        <v>81.714285714285708</v>
      </c>
      <c r="G5" s="8">
        <f>(1 - 0.88)*13/14*100</f>
        <v>11.142857142857142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17">
        <v>0</v>
      </c>
      <c r="T5" s="8">
        <v>7.14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14">
        <f t="shared" si="0"/>
        <v>99.997142857142848</v>
      </c>
      <c r="AE5" s="8">
        <v>0</v>
      </c>
      <c r="AF5" s="8">
        <v>0</v>
      </c>
      <c r="AG5" s="8">
        <v>0</v>
      </c>
      <c r="AH5" s="8">
        <v>0</v>
      </c>
      <c r="AI5" s="39" t="s">
        <v>1531</v>
      </c>
      <c r="AJ5" s="7">
        <v>240</v>
      </c>
      <c r="AK5" s="62">
        <v>1323</v>
      </c>
      <c r="AL5" s="204"/>
      <c r="AM5" s="85"/>
      <c r="AN5" s="85"/>
      <c r="AO5" s="85"/>
      <c r="AP5" s="85"/>
      <c r="AQ5" s="85"/>
      <c r="AR5" s="85"/>
      <c r="AS5" s="85"/>
      <c r="AT5" s="205"/>
      <c r="AU5" s="85"/>
      <c r="AV5" s="196"/>
      <c r="AW5" s="85"/>
      <c r="AX5" s="85"/>
      <c r="AY5" s="39">
        <v>0.2</v>
      </c>
      <c r="AZ5" s="7">
        <v>195</v>
      </c>
      <c r="BA5" s="62">
        <v>2</v>
      </c>
      <c r="BB5" s="7" t="s">
        <v>519</v>
      </c>
      <c r="BC5" s="7" t="s">
        <v>518</v>
      </c>
      <c r="BD5" s="7" t="s">
        <v>520</v>
      </c>
      <c r="BE5" s="66" t="s">
        <v>521</v>
      </c>
      <c r="BF5" s="39" t="s">
        <v>519</v>
      </c>
      <c r="BG5" s="60" t="s">
        <v>1129</v>
      </c>
      <c r="BH5" s="168" t="s">
        <v>1942</v>
      </c>
      <c r="BI5" s="7"/>
      <c r="BJ5" s="32"/>
      <c r="BK5" s="244"/>
    </row>
    <row r="6" spans="1:65" ht="23.25" customHeight="1" x14ac:dyDescent="0.2">
      <c r="A6" s="62">
        <v>5</v>
      </c>
      <c r="B6" s="221"/>
      <c r="C6" s="221"/>
      <c r="D6" s="223"/>
      <c r="E6" s="54" t="s">
        <v>230</v>
      </c>
      <c r="F6" s="16">
        <f>0.89*13/14*100</f>
        <v>82.642857142857139</v>
      </c>
      <c r="G6" s="8">
        <f>(1 - 0.89)*13/14*100</f>
        <v>10.214285714285712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7">
        <v>0</v>
      </c>
      <c r="T6" s="8">
        <v>7.14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4">
        <f t="shared" si="0"/>
        <v>99.997142857142848</v>
      </c>
      <c r="AE6" s="8">
        <v>0</v>
      </c>
      <c r="AF6" s="8">
        <v>0</v>
      </c>
      <c r="AG6" s="8">
        <v>0</v>
      </c>
      <c r="AH6" s="8">
        <v>0</v>
      </c>
      <c r="AI6" s="39" t="s">
        <v>1531</v>
      </c>
      <c r="AJ6" s="7">
        <v>240</v>
      </c>
      <c r="AK6" s="62">
        <v>1323</v>
      </c>
      <c r="AL6" s="204"/>
      <c r="AM6" s="85"/>
      <c r="AN6" s="85"/>
      <c r="AO6" s="85"/>
      <c r="AP6" s="85"/>
      <c r="AQ6" s="85"/>
      <c r="AR6" s="85"/>
      <c r="AS6" s="85"/>
      <c r="AT6" s="205"/>
      <c r="AU6" s="85"/>
      <c r="AV6" s="196"/>
      <c r="AW6" s="85"/>
      <c r="AX6" s="85"/>
      <c r="AY6" s="63"/>
      <c r="AZ6" s="7">
        <v>188</v>
      </c>
      <c r="BA6" s="62"/>
      <c r="BB6" s="7" t="s">
        <v>524</v>
      </c>
      <c r="BC6" s="7" t="s">
        <v>522</v>
      </c>
      <c r="BD6" s="7" t="s">
        <v>525</v>
      </c>
      <c r="BE6" s="7" t="s">
        <v>526</v>
      </c>
      <c r="BF6" s="39" t="s">
        <v>523</v>
      </c>
      <c r="BG6" s="7" t="s">
        <v>1130</v>
      </c>
      <c r="BH6" s="62" t="s">
        <v>1941</v>
      </c>
      <c r="BI6" s="7"/>
      <c r="BJ6" s="32"/>
      <c r="BK6" s="244"/>
    </row>
    <row r="7" spans="1:65" ht="23.25" customHeight="1" x14ac:dyDescent="0.2">
      <c r="A7" s="7">
        <v>6</v>
      </c>
      <c r="B7" s="221"/>
      <c r="C7" s="221"/>
      <c r="D7" s="223"/>
      <c r="E7" s="54" t="s">
        <v>240</v>
      </c>
      <c r="F7" s="16">
        <f>0.9*13/14*100</f>
        <v>83.571428571428569</v>
      </c>
      <c r="G7" s="8">
        <f>(1 - 0.9)*13/14*100</f>
        <v>9.2857142857142847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7">
        <v>0</v>
      </c>
      <c r="T7" s="8">
        <v>7.14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4">
        <f t="shared" si="0"/>
        <v>99.997142857142862</v>
      </c>
      <c r="AE7" s="8">
        <v>0</v>
      </c>
      <c r="AF7" s="8">
        <v>0</v>
      </c>
      <c r="AG7" s="8">
        <v>0</v>
      </c>
      <c r="AH7" s="8">
        <v>0</v>
      </c>
      <c r="AI7" s="39" t="s">
        <v>1531</v>
      </c>
      <c r="AJ7" s="7">
        <v>240</v>
      </c>
      <c r="AK7" s="62">
        <v>1323</v>
      </c>
      <c r="AL7" s="204"/>
      <c r="AM7" s="85"/>
      <c r="AN7" s="85"/>
      <c r="AO7" s="85"/>
      <c r="AP7" s="85"/>
      <c r="AQ7" s="85"/>
      <c r="AR7" s="85"/>
      <c r="AS7" s="85"/>
      <c r="AT7" s="205"/>
      <c r="AU7" s="85"/>
      <c r="AV7" s="196"/>
      <c r="AW7" s="85"/>
      <c r="AX7" s="85"/>
      <c r="AY7" s="63"/>
      <c r="AZ7" s="7">
        <v>184</v>
      </c>
      <c r="BA7" s="62"/>
      <c r="BB7" s="7" t="s">
        <v>523</v>
      </c>
      <c r="BC7" s="7" t="s">
        <v>527</v>
      </c>
      <c r="BD7" s="7" t="s">
        <v>531</v>
      </c>
      <c r="BE7" s="7" t="s">
        <v>535</v>
      </c>
      <c r="BF7" s="39" t="s">
        <v>523</v>
      </c>
      <c r="BG7" s="7" t="s">
        <v>1132</v>
      </c>
      <c r="BH7" s="62" t="s">
        <v>1131</v>
      </c>
      <c r="BI7" s="7"/>
      <c r="BJ7" s="32"/>
      <c r="BK7" s="244"/>
    </row>
    <row r="8" spans="1:65" ht="23.25" customHeight="1" x14ac:dyDescent="0.2">
      <c r="A8" s="62">
        <v>7</v>
      </c>
      <c r="B8" s="221"/>
      <c r="C8" s="221"/>
      <c r="D8" s="223" t="s">
        <v>231</v>
      </c>
      <c r="E8" s="54" t="s">
        <v>232</v>
      </c>
      <c r="F8" s="16">
        <f>0.88*13/14*100</f>
        <v>81.714285714285708</v>
      </c>
      <c r="G8" s="8">
        <f>(1 - 0.88)*13/14*100</f>
        <v>11.142857142857142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7">
        <v>0</v>
      </c>
      <c r="T8" s="8">
        <v>7.14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4">
        <f t="shared" si="0"/>
        <v>99.997142857142848</v>
      </c>
      <c r="AE8" s="8">
        <f>0.5/14*100</f>
        <v>3.5714285714285712</v>
      </c>
      <c r="AF8" s="8">
        <v>0</v>
      </c>
      <c r="AG8" s="8">
        <v>0</v>
      </c>
      <c r="AH8" s="8">
        <v>0</v>
      </c>
      <c r="AI8" s="39" t="s">
        <v>1531</v>
      </c>
      <c r="AJ8" s="7">
        <v>240</v>
      </c>
      <c r="AK8" s="62">
        <v>1323</v>
      </c>
      <c r="AL8" s="158"/>
      <c r="AM8" s="85"/>
      <c r="AN8" s="85"/>
      <c r="AO8" s="85"/>
      <c r="AP8" s="85"/>
      <c r="AQ8" s="85"/>
      <c r="AR8" s="85"/>
      <c r="AS8" s="85"/>
      <c r="AT8" s="205"/>
      <c r="AU8" s="85"/>
      <c r="AV8" s="196"/>
      <c r="AW8" s="85"/>
      <c r="AX8" s="85"/>
      <c r="AY8" s="63"/>
      <c r="AZ8" s="7">
        <v>233</v>
      </c>
      <c r="BA8" s="62"/>
      <c r="BB8" s="7" t="s">
        <v>523</v>
      </c>
      <c r="BC8" s="7" t="s">
        <v>528</v>
      </c>
      <c r="BD8" s="7" t="s">
        <v>532</v>
      </c>
      <c r="BE8" s="7" t="s">
        <v>536</v>
      </c>
      <c r="BF8" s="39" t="s">
        <v>523</v>
      </c>
      <c r="BG8" s="7" t="s">
        <v>1133</v>
      </c>
      <c r="BH8" s="62" t="s">
        <v>1137</v>
      </c>
      <c r="BI8" s="7"/>
      <c r="BJ8" s="32"/>
      <c r="BK8" s="244"/>
    </row>
    <row r="9" spans="1:65" ht="23.25" customHeight="1" x14ac:dyDescent="0.2">
      <c r="A9" s="7">
        <v>8</v>
      </c>
      <c r="B9" s="221"/>
      <c r="C9" s="221"/>
      <c r="D9" s="223"/>
      <c r="E9" s="54" t="s">
        <v>239</v>
      </c>
      <c r="F9" s="16">
        <f t="shared" ref="F9:F10" si="2">0.88*13/14*100</f>
        <v>81.714285714285708</v>
      </c>
      <c r="G9" s="8">
        <f t="shared" ref="G9:G10" si="3">(1 - 0.88)*13/14*100</f>
        <v>11.142857142857142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7">
        <v>0</v>
      </c>
      <c r="T9" s="8">
        <v>7.14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4">
        <f t="shared" si="0"/>
        <v>99.997142857142848</v>
      </c>
      <c r="AE9" s="8">
        <f>1/14*100</f>
        <v>7.1428571428571423</v>
      </c>
      <c r="AF9" s="8">
        <v>0</v>
      </c>
      <c r="AG9" s="8">
        <v>0</v>
      </c>
      <c r="AH9" s="8">
        <v>0</v>
      </c>
      <c r="AI9" s="39" t="s">
        <v>1531</v>
      </c>
      <c r="AJ9" s="7">
        <v>240</v>
      </c>
      <c r="AK9" s="62">
        <v>1323</v>
      </c>
      <c r="AL9" s="158"/>
      <c r="AM9" s="85"/>
      <c r="AN9" s="85"/>
      <c r="AO9" s="85"/>
      <c r="AP9" s="85"/>
      <c r="AQ9" s="85"/>
      <c r="AR9" s="85"/>
      <c r="AS9" s="85"/>
      <c r="AT9" s="205"/>
      <c r="AU9" s="85"/>
      <c r="AV9" s="196"/>
      <c r="AW9" s="85"/>
      <c r="AX9" s="85"/>
      <c r="AY9" s="63"/>
      <c r="AZ9" s="7">
        <v>274</v>
      </c>
      <c r="BA9" s="62"/>
      <c r="BB9" s="7" t="s">
        <v>523</v>
      </c>
      <c r="BC9" s="7" t="s">
        <v>529</v>
      </c>
      <c r="BD9" s="7" t="s">
        <v>533</v>
      </c>
      <c r="BE9" s="7" t="s">
        <v>536</v>
      </c>
      <c r="BF9" s="39" t="s">
        <v>523</v>
      </c>
      <c r="BG9" s="7" t="s">
        <v>1134</v>
      </c>
      <c r="BH9" s="62" t="s">
        <v>1138</v>
      </c>
      <c r="BI9" s="7"/>
      <c r="BJ9" s="32"/>
      <c r="BK9" s="244"/>
    </row>
    <row r="10" spans="1:65" ht="23.25" customHeight="1" x14ac:dyDescent="0.2">
      <c r="A10" s="62">
        <v>9</v>
      </c>
      <c r="B10" s="221"/>
      <c r="C10" s="221"/>
      <c r="D10" s="223"/>
      <c r="E10" s="54" t="s">
        <v>233</v>
      </c>
      <c r="F10" s="16">
        <f t="shared" si="2"/>
        <v>81.714285714285708</v>
      </c>
      <c r="G10" s="8">
        <f t="shared" si="3"/>
        <v>11.142857142857142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7">
        <v>0</v>
      </c>
      <c r="T10" s="8">
        <v>7.14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4">
        <f>SUM(F10:AC10)</f>
        <v>99.997142857142848</v>
      </c>
      <c r="AE10" s="8">
        <f>1.5/14*100</f>
        <v>10.714285714285714</v>
      </c>
      <c r="AF10" s="8">
        <v>0</v>
      </c>
      <c r="AG10" s="8">
        <v>0</v>
      </c>
      <c r="AH10" s="8">
        <v>0</v>
      </c>
      <c r="AI10" s="39" t="s">
        <v>1531</v>
      </c>
      <c r="AJ10" s="7">
        <v>240</v>
      </c>
      <c r="AK10" s="62">
        <v>1323</v>
      </c>
      <c r="AL10" s="158"/>
      <c r="AM10" s="85"/>
      <c r="AN10" s="85"/>
      <c r="AO10" s="85"/>
      <c r="AP10" s="85"/>
      <c r="AQ10" s="85"/>
      <c r="AR10" s="85"/>
      <c r="AS10" s="85"/>
      <c r="AT10" s="205"/>
      <c r="AU10" s="85"/>
      <c r="AV10" s="196"/>
      <c r="AW10" s="85"/>
      <c r="AX10" s="85"/>
      <c r="AY10" s="63"/>
      <c r="AZ10" s="7">
        <v>323</v>
      </c>
      <c r="BA10" s="62"/>
      <c r="BB10" s="7" t="s">
        <v>523</v>
      </c>
      <c r="BC10" s="7" t="s">
        <v>529</v>
      </c>
      <c r="BD10" s="7" t="s">
        <v>534</v>
      </c>
      <c r="BE10" s="7" t="s">
        <v>537</v>
      </c>
      <c r="BF10" s="39" t="s">
        <v>523</v>
      </c>
      <c r="BG10" s="7" t="s">
        <v>1135</v>
      </c>
      <c r="BH10" s="62" t="s">
        <v>1139</v>
      </c>
      <c r="BI10" s="7"/>
      <c r="BJ10" s="32"/>
      <c r="BK10" s="244"/>
    </row>
    <row r="11" spans="1:65" ht="23.25" customHeight="1" x14ac:dyDescent="0.2">
      <c r="A11" s="7">
        <v>10</v>
      </c>
      <c r="B11" s="221"/>
      <c r="C11" s="221"/>
      <c r="D11" s="54" t="s">
        <v>3</v>
      </c>
      <c r="E11" s="54"/>
      <c r="F11" s="16">
        <f>0.89*13/14*100</f>
        <v>82.642857142857139</v>
      </c>
      <c r="G11" s="8">
        <f>(1 - 0.89)*13/14*100</f>
        <v>10.214285714285712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7">
        <v>0</v>
      </c>
      <c r="T11" s="8">
        <v>7.14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4">
        <f t="shared" si="0"/>
        <v>99.997142857142848</v>
      </c>
      <c r="AE11" s="8">
        <f>1.3/14*100</f>
        <v>9.2857142857142865</v>
      </c>
      <c r="AF11" s="8">
        <v>0</v>
      </c>
      <c r="AG11" s="8">
        <v>0</v>
      </c>
      <c r="AH11" s="8">
        <v>0</v>
      </c>
      <c r="AI11" s="39" t="s">
        <v>1531</v>
      </c>
      <c r="AJ11" s="7">
        <v>240</v>
      </c>
      <c r="AK11" s="62">
        <v>1323</v>
      </c>
      <c r="AL11" s="158"/>
      <c r="AM11" s="85"/>
      <c r="AN11" s="85"/>
      <c r="AO11" s="85"/>
      <c r="AP11" s="85"/>
      <c r="AQ11" s="85"/>
      <c r="AR11" s="85"/>
      <c r="AS11" s="85"/>
      <c r="AT11" s="205"/>
      <c r="AU11" s="85"/>
      <c r="AV11" s="196"/>
      <c r="AW11" s="85"/>
      <c r="AX11" s="85"/>
      <c r="AY11" s="63"/>
      <c r="AZ11" s="7">
        <v>291</v>
      </c>
      <c r="BA11" s="62"/>
      <c r="BB11" s="7" t="s">
        <v>523</v>
      </c>
      <c r="BC11" s="7" t="s">
        <v>1945</v>
      </c>
      <c r="BD11" s="7"/>
      <c r="BE11" s="7"/>
      <c r="BF11" s="39" t="s">
        <v>523</v>
      </c>
      <c r="BG11" s="7" t="s">
        <v>1136</v>
      </c>
      <c r="BH11" s="62"/>
      <c r="BI11" s="7"/>
      <c r="BJ11" s="32"/>
      <c r="BK11" s="244"/>
    </row>
    <row r="12" spans="1:65" ht="23.25" customHeight="1" thickBot="1" x14ac:dyDescent="0.25">
      <c r="A12" s="62">
        <v>11</v>
      </c>
      <c r="B12" s="222"/>
      <c r="C12" s="222"/>
      <c r="D12" s="54" t="s">
        <v>4</v>
      </c>
      <c r="E12" s="54"/>
      <c r="F12" s="16">
        <f>0.9*13/14*100</f>
        <v>83.571428571428569</v>
      </c>
      <c r="G12" s="8">
        <f>(1 - 0.9)*13/14*100</f>
        <v>9.2857142857142847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7">
        <v>0</v>
      </c>
      <c r="T12" s="8">
        <v>7.14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4">
        <f t="shared" si="0"/>
        <v>99.997142857142862</v>
      </c>
      <c r="AE12" s="8">
        <f>1.1/14*100</f>
        <v>7.8571428571428585</v>
      </c>
      <c r="AF12" s="8">
        <v>0</v>
      </c>
      <c r="AG12" s="8">
        <v>0</v>
      </c>
      <c r="AH12" s="8">
        <v>0</v>
      </c>
      <c r="AI12" s="39" t="s">
        <v>1531</v>
      </c>
      <c r="AJ12" s="7">
        <v>240</v>
      </c>
      <c r="AK12" s="62">
        <v>1323</v>
      </c>
      <c r="AL12" s="158"/>
      <c r="AM12" s="85"/>
      <c r="AN12" s="85"/>
      <c r="AO12" s="85"/>
      <c r="AP12" s="85"/>
      <c r="AQ12" s="85"/>
      <c r="AR12" s="85"/>
      <c r="AS12" s="85"/>
      <c r="AT12" s="205"/>
      <c r="AU12" s="85"/>
      <c r="AV12" s="196"/>
      <c r="AW12" s="85"/>
      <c r="AX12" s="85"/>
      <c r="AY12" s="63"/>
      <c r="AZ12" s="7">
        <v>287</v>
      </c>
      <c r="BA12" s="62"/>
      <c r="BB12" s="7" t="s">
        <v>523</v>
      </c>
      <c r="BC12" s="7" t="s">
        <v>530</v>
      </c>
      <c r="BD12" s="7"/>
      <c r="BE12" s="7"/>
      <c r="BF12" s="39" t="s">
        <v>523</v>
      </c>
      <c r="BG12" s="7" t="s">
        <v>1946</v>
      </c>
      <c r="BH12" s="62"/>
      <c r="BI12" s="7"/>
      <c r="BJ12" s="32"/>
      <c r="BK12" s="245"/>
    </row>
    <row r="13" spans="1:65" s="4" customFormat="1" ht="23.25" customHeight="1" x14ac:dyDescent="0.2">
      <c r="A13" s="7">
        <v>12</v>
      </c>
      <c r="B13" s="238">
        <v>17</v>
      </c>
      <c r="C13" s="238" t="s">
        <v>1523</v>
      </c>
      <c r="D13" s="86" t="s">
        <v>5</v>
      </c>
      <c r="E13" s="12"/>
      <c r="F13" s="87">
        <f>11.44/14.04*100</f>
        <v>81.481481481481495</v>
      </c>
      <c r="G13" s="88">
        <f>1.56/14.04*100</f>
        <v>11.111111111111112</v>
      </c>
      <c r="H13" s="88">
        <v>0</v>
      </c>
      <c r="I13" s="88">
        <v>0</v>
      </c>
      <c r="J13" s="88">
        <v>0</v>
      </c>
      <c r="K13" s="88">
        <v>0</v>
      </c>
      <c r="L13" s="88">
        <v>0</v>
      </c>
      <c r="M13" s="88">
        <v>0</v>
      </c>
      <c r="N13" s="88">
        <v>0</v>
      </c>
      <c r="O13" s="88">
        <v>0</v>
      </c>
      <c r="P13" s="88">
        <v>0</v>
      </c>
      <c r="Q13" s="88">
        <v>0</v>
      </c>
      <c r="R13" s="88">
        <v>0</v>
      </c>
      <c r="S13" s="89">
        <v>0</v>
      </c>
      <c r="T13" s="88">
        <f>1.04/14.04*100</f>
        <v>7.4074074074074083</v>
      </c>
      <c r="U13" s="88">
        <v>0</v>
      </c>
      <c r="V13" s="88">
        <v>0</v>
      </c>
      <c r="W13" s="88">
        <v>0</v>
      </c>
      <c r="X13" s="88">
        <v>0</v>
      </c>
      <c r="Y13" s="88">
        <v>0</v>
      </c>
      <c r="Z13" s="88">
        <v>0</v>
      </c>
      <c r="AA13" s="88">
        <v>0</v>
      </c>
      <c r="AB13" s="88">
        <v>0</v>
      </c>
      <c r="AC13" s="88">
        <v>0</v>
      </c>
      <c r="AD13" s="90">
        <f t="shared" si="0"/>
        <v>100.00000000000001</v>
      </c>
      <c r="AE13" s="88">
        <f>1.63/14.04*100</f>
        <v>11.609686609686609</v>
      </c>
      <c r="AF13" s="88">
        <v>0</v>
      </c>
      <c r="AG13" s="88">
        <v>0</v>
      </c>
      <c r="AH13" s="88">
        <v>0</v>
      </c>
      <c r="AI13" s="156" t="s">
        <v>1529</v>
      </c>
      <c r="AJ13" s="45"/>
      <c r="AK13" s="91"/>
      <c r="AL13" s="197"/>
      <c r="AM13" s="189"/>
      <c r="AN13" s="189"/>
      <c r="AO13" s="189"/>
      <c r="AP13" s="189"/>
      <c r="AQ13" s="189"/>
      <c r="AR13" s="189"/>
      <c r="AS13" s="189"/>
      <c r="AT13" s="198"/>
      <c r="AU13" s="189"/>
      <c r="AV13" s="199"/>
      <c r="AW13" s="189"/>
      <c r="AX13" s="189"/>
      <c r="AY13" s="156">
        <v>0</v>
      </c>
      <c r="AZ13" s="45">
        <v>334</v>
      </c>
      <c r="BA13" s="91"/>
      <c r="BB13" s="45"/>
      <c r="BC13" s="45"/>
      <c r="BD13" s="45"/>
      <c r="BE13" s="45"/>
      <c r="BF13" s="156"/>
      <c r="BG13" s="45"/>
      <c r="BH13" s="91"/>
      <c r="BI13" s="45"/>
      <c r="BJ13" s="67"/>
      <c r="BK13" s="225"/>
    </row>
    <row r="14" spans="1:65" ht="23.25" customHeight="1" x14ac:dyDescent="0.2">
      <c r="A14" s="62">
        <v>13</v>
      </c>
      <c r="B14" s="221"/>
      <c r="C14" s="221"/>
      <c r="D14" s="92" t="s">
        <v>6</v>
      </c>
      <c r="E14" s="54"/>
      <c r="F14" s="16">
        <f t="shared" ref="F14:F15" si="4">11.44/14.04*100</f>
        <v>81.481481481481495</v>
      </c>
      <c r="G14" s="8">
        <f t="shared" ref="G14:G15" si="5">1.56/14.04*100</f>
        <v>11.111111111111112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17">
        <v>0</v>
      </c>
      <c r="T14" s="8">
        <v>7.4074074074074083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4">
        <f t="shared" si="0"/>
        <v>100.00000000000001</v>
      </c>
      <c r="AE14" s="8">
        <f>1.35/14.04*100</f>
        <v>9.6153846153846168</v>
      </c>
      <c r="AF14" s="8">
        <v>0</v>
      </c>
      <c r="AG14" s="8">
        <v>0</v>
      </c>
      <c r="AH14" s="8">
        <v>0</v>
      </c>
      <c r="AI14" s="39" t="s">
        <v>1531</v>
      </c>
      <c r="AJ14" s="7">
        <v>240</v>
      </c>
      <c r="AK14" s="62">
        <v>1323</v>
      </c>
      <c r="AL14" s="158"/>
      <c r="AM14" s="85"/>
      <c r="AN14" s="85"/>
      <c r="AO14" s="85"/>
      <c r="AP14" s="85"/>
      <c r="AQ14" s="85"/>
      <c r="AR14" s="85"/>
      <c r="AS14" s="85"/>
      <c r="AT14" s="205"/>
      <c r="AU14" s="85"/>
      <c r="AV14" s="196"/>
      <c r="AW14" s="85"/>
      <c r="AX14" s="85"/>
      <c r="AY14" s="39">
        <v>0</v>
      </c>
      <c r="AZ14" s="7">
        <v>309</v>
      </c>
      <c r="BA14" s="62"/>
      <c r="BB14" s="7"/>
      <c r="BC14" s="7"/>
      <c r="BD14" s="7"/>
      <c r="BE14" s="7"/>
      <c r="BF14" s="39"/>
      <c r="BG14" s="7"/>
      <c r="BH14" s="62"/>
      <c r="BI14" s="7"/>
      <c r="BJ14" s="32"/>
      <c r="BK14" s="223"/>
    </row>
    <row r="15" spans="1:65" ht="23.25" customHeight="1" x14ac:dyDescent="0.2">
      <c r="A15" s="7">
        <v>14</v>
      </c>
      <c r="B15" s="221"/>
      <c r="C15" s="221"/>
      <c r="D15" s="92" t="s">
        <v>7</v>
      </c>
      <c r="E15" s="54"/>
      <c r="F15" s="16">
        <f t="shared" si="4"/>
        <v>81.481481481481495</v>
      </c>
      <c r="G15" s="8">
        <f t="shared" si="5"/>
        <v>11.111111111111112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17">
        <v>0</v>
      </c>
      <c r="T15" s="8">
        <v>7.4074074074074083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4">
        <f t="shared" si="0"/>
        <v>100.00000000000001</v>
      </c>
      <c r="AE15" s="8">
        <f>1.17/14.04*100</f>
        <v>8.3333333333333321</v>
      </c>
      <c r="AF15" s="8">
        <v>0</v>
      </c>
      <c r="AG15" s="8">
        <v>0</v>
      </c>
      <c r="AH15" s="8">
        <v>0</v>
      </c>
      <c r="AI15" s="39" t="s">
        <v>1529</v>
      </c>
      <c r="AJ15" s="7"/>
      <c r="AK15" s="62"/>
      <c r="AL15" s="158"/>
      <c r="AM15" s="85"/>
      <c r="AN15" s="85"/>
      <c r="AO15" s="85"/>
      <c r="AP15" s="85"/>
      <c r="AQ15" s="85"/>
      <c r="AR15" s="85"/>
      <c r="AS15" s="85"/>
      <c r="AT15" s="205"/>
      <c r="AU15" s="85"/>
      <c r="AV15" s="196"/>
      <c r="AW15" s="85"/>
      <c r="AX15" s="85"/>
      <c r="AY15" s="39">
        <v>0</v>
      </c>
      <c r="AZ15" s="7">
        <v>295</v>
      </c>
      <c r="BA15" s="62"/>
      <c r="BB15" s="7">
        <v>1</v>
      </c>
      <c r="BC15" s="7">
        <v>12.1</v>
      </c>
      <c r="BD15" s="7">
        <v>295</v>
      </c>
      <c r="BE15" s="7">
        <v>5.3</v>
      </c>
      <c r="BF15" s="39"/>
      <c r="BG15" s="7"/>
      <c r="BH15" s="62"/>
      <c r="BI15" s="7"/>
      <c r="BJ15" s="32"/>
      <c r="BK15" s="223"/>
    </row>
    <row r="16" spans="1:65" ht="23.25" customHeight="1" x14ac:dyDescent="0.2">
      <c r="A16" s="62">
        <v>15</v>
      </c>
      <c r="B16" s="221"/>
      <c r="C16" s="221"/>
      <c r="D16" s="223" t="s">
        <v>1526</v>
      </c>
      <c r="E16" s="54" t="s">
        <v>238</v>
      </c>
      <c r="F16" s="16">
        <f>(11.74-0.39)/14*100</f>
        <v>81.071428571428569</v>
      </c>
      <c r="G16" s="8">
        <f>1.26/14*100</f>
        <v>9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f>0.39/14*100</f>
        <v>2.7857142857142856</v>
      </c>
      <c r="Q16" s="8">
        <v>0</v>
      </c>
      <c r="R16" s="8">
        <v>0</v>
      </c>
      <c r="S16" s="17">
        <v>0</v>
      </c>
      <c r="T16" s="8">
        <v>7.14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4">
        <f t="shared" si="0"/>
        <v>99.997142857142862</v>
      </c>
      <c r="AE16" s="8">
        <f>1.53/14*100</f>
        <v>10.928571428571429</v>
      </c>
      <c r="AF16" s="8">
        <v>0</v>
      </c>
      <c r="AG16" s="8">
        <v>0</v>
      </c>
      <c r="AH16" s="8">
        <v>0</v>
      </c>
      <c r="AI16" s="63" t="s">
        <v>1528</v>
      </c>
      <c r="AJ16" s="7"/>
      <c r="AK16" s="93"/>
      <c r="AL16" s="158"/>
      <c r="AM16" s="85"/>
      <c r="AN16" s="85"/>
      <c r="AO16" s="85"/>
      <c r="AP16" s="85"/>
      <c r="AQ16" s="85"/>
      <c r="AR16" s="85"/>
      <c r="AS16" s="85"/>
      <c r="AT16" s="205"/>
      <c r="AU16" s="85"/>
      <c r="AV16" s="196"/>
      <c r="AW16" s="85"/>
      <c r="AX16" s="85"/>
      <c r="AY16" s="39"/>
      <c r="AZ16" s="7"/>
      <c r="BA16" s="62"/>
      <c r="BB16" s="7">
        <v>1.6</v>
      </c>
      <c r="BC16" s="7">
        <v>10.7</v>
      </c>
      <c r="BD16" s="7">
        <v>283</v>
      </c>
      <c r="BE16" s="7">
        <v>9.3000000000000007</v>
      </c>
      <c r="BF16" s="39"/>
      <c r="BG16" s="7"/>
      <c r="BH16" s="62"/>
      <c r="BI16" s="7"/>
      <c r="BJ16" s="32"/>
      <c r="BK16" s="223"/>
    </row>
    <row r="17" spans="1:63" ht="23.25" customHeight="1" x14ac:dyDescent="0.2">
      <c r="A17" s="7">
        <v>16</v>
      </c>
      <c r="B17" s="221"/>
      <c r="C17" s="221"/>
      <c r="D17" s="223"/>
      <c r="E17" s="54" t="s">
        <v>237</v>
      </c>
      <c r="F17" s="16">
        <f>(11.74-0.373)/14*100</f>
        <v>81.19285714285715</v>
      </c>
      <c r="G17" s="8">
        <f t="shared" ref="G17:G20" si="6">1.26/14*100</f>
        <v>9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f>0.373/14*100</f>
        <v>2.6642857142857141</v>
      </c>
      <c r="Q17" s="8">
        <v>0</v>
      </c>
      <c r="R17" s="8">
        <v>0</v>
      </c>
      <c r="S17" s="17">
        <v>0</v>
      </c>
      <c r="T17" s="8">
        <v>7.14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4">
        <f t="shared" si="0"/>
        <v>99.997142857142862</v>
      </c>
      <c r="AE17" s="8">
        <f>1.539/14*100</f>
        <v>10.992857142857142</v>
      </c>
      <c r="AF17" s="8">
        <v>0</v>
      </c>
      <c r="AG17" s="8">
        <v>0</v>
      </c>
      <c r="AH17" s="8">
        <v>0</v>
      </c>
      <c r="AI17" s="63" t="s">
        <v>1528</v>
      </c>
      <c r="AJ17" s="7"/>
      <c r="AK17" s="93"/>
      <c r="AL17" s="158"/>
      <c r="AM17" s="85"/>
      <c r="AN17" s="85"/>
      <c r="AO17" s="85"/>
      <c r="AP17" s="85"/>
      <c r="AQ17" s="85"/>
      <c r="AR17" s="85"/>
      <c r="AS17" s="85"/>
      <c r="AT17" s="205"/>
      <c r="AU17" s="85"/>
      <c r="AV17" s="196"/>
      <c r="AW17" s="85"/>
      <c r="AX17" s="85"/>
      <c r="AY17" s="39"/>
      <c r="AZ17" s="7"/>
      <c r="BA17" s="62"/>
      <c r="BB17" s="7">
        <v>1.6</v>
      </c>
      <c r="BC17" s="7">
        <v>11</v>
      </c>
      <c r="BD17" s="7">
        <v>287</v>
      </c>
      <c r="BE17" s="7">
        <v>9.3000000000000007</v>
      </c>
      <c r="BF17" s="39"/>
      <c r="BG17" s="7"/>
      <c r="BH17" s="62"/>
      <c r="BI17" s="7"/>
      <c r="BJ17" s="32"/>
      <c r="BK17" s="223"/>
    </row>
    <row r="18" spans="1:63" ht="23.25" customHeight="1" x14ac:dyDescent="0.2">
      <c r="A18" s="62">
        <v>17</v>
      </c>
      <c r="B18" s="221"/>
      <c r="C18" s="221"/>
      <c r="D18" s="223"/>
      <c r="E18" s="54" t="s">
        <v>236</v>
      </c>
      <c r="F18" s="16">
        <f>(11.74-0.356)/14*100</f>
        <v>81.314285714285717</v>
      </c>
      <c r="G18" s="8">
        <f t="shared" si="6"/>
        <v>9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f>0.356/14*100</f>
        <v>2.5428571428571427</v>
      </c>
      <c r="Q18" s="8">
        <v>0</v>
      </c>
      <c r="R18" s="8">
        <v>0</v>
      </c>
      <c r="S18" s="17">
        <v>0</v>
      </c>
      <c r="T18" s="8">
        <v>7.14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4">
        <f t="shared" si="0"/>
        <v>99.997142857142862</v>
      </c>
      <c r="AE18" s="8">
        <f>1.523/14*100</f>
        <v>10.878571428571428</v>
      </c>
      <c r="AF18" s="8">
        <v>0</v>
      </c>
      <c r="AG18" s="8">
        <v>0</v>
      </c>
      <c r="AH18" s="8">
        <v>0</v>
      </c>
      <c r="AI18" s="63" t="s">
        <v>1528</v>
      </c>
      <c r="AJ18" s="7"/>
      <c r="AK18" s="93"/>
      <c r="AL18" s="158"/>
      <c r="AM18" s="85"/>
      <c r="AN18" s="85"/>
      <c r="AO18" s="85"/>
      <c r="AP18" s="85"/>
      <c r="AQ18" s="85"/>
      <c r="AR18" s="85"/>
      <c r="AS18" s="85"/>
      <c r="AT18" s="205"/>
      <c r="AU18" s="85"/>
      <c r="AV18" s="196"/>
      <c r="AW18" s="85"/>
      <c r="AX18" s="85"/>
      <c r="AY18" s="39"/>
      <c r="AZ18" s="7"/>
      <c r="BA18" s="62"/>
      <c r="BB18" s="7">
        <v>1.6</v>
      </c>
      <c r="BC18" s="7">
        <v>12.4</v>
      </c>
      <c r="BD18" s="7">
        <v>290</v>
      </c>
      <c r="BE18" s="7">
        <v>8.5</v>
      </c>
      <c r="BF18" s="39"/>
      <c r="BG18" s="7"/>
      <c r="BH18" s="62"/>
      <c r="BI18" s="7"/>
      <c r="BJ18" s="32"/>
      <c r="BK18" s="223"/>
    </row>
    <row r="19" spans="1:63" ht="23.25" customHeight="1" x14ac:dyDescent="0.2">
      <c r="A19" s="7">
        <v>18</v>
      </c>
      <c r="B19" s="221"/>
      <c r="C19" s="221"/>
      <c r="D19" s="223"/>
      <c r="E19" s="54" t="s">
        <v>235</v>
      </c>
      <c r="F19" s="16">
        <f>(11.74-0.338)/14*100</f>
        <v>81.44285714285715</v>
      </c>
      <c r="G19" s="8">
        <f t="shared" si="6"/>
        <v>9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f>0.338/14*100</f>
        <v>2.4142857142857141</v>
      </c>
      <c r="Q19" s="8">
        <v>0</v>
      </c>
      <c r="R19" s="8">
        <v>0</v>
      </c>
      <c r="S19" s="17">
        <v>0</v>
      </c>
      <c r="T19" s="8">
        <v>7.14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4">
        <f t="shared" si="0"/>
        <v>99.997142857142862</v>
      </c>
      <c r="AE19" s="8">
        <f>1.524/14*100</f>
        <v>10.885714285714286</v>
      </c>
      <c r="AF19" s="8">
        <v>0</v>
      </c>
      <c r="AG19" s="8">
        <v>0</v>
      </c>
      <c r="AH19" s="8">
        <v>0</v>
      </c>
      <c r="AI19" s="63" t="s">
        <v>1528</v>
      </c>
      <c r="AJ19" s="7"/>
      <c r="AK19" s="93"/>
      <c r="AL19" s="158"/>
      <c r="AM19" s="85"/>
      <c r="AN19" s="85"/>
      <c r="AO19" s="85"/>
      <c r="AP19" s="85"/>
      <c r="AQ19" s="85"/>
      <c r="AR19" s="85"/>
      <c r="AS19" s="85"/>
      <c r="AT19" s="205"/>
      <c r="AU19" s="85"/>
      <c r="AV19" s="196"/>
      <c r="AW19" s="85"/>
      <c r="AX19" s="85"/>
      <c r="AY19" s="39"/>
      <c r="AZ19" s="7"/>
      <c r="BA19" s="62"/>
      <c r="BB19" s="7">
        <v>1.6</v>
      </c>
      <c r="BC19" s="7">
        <v>11.8</v>
      </c>
      <c r="BD19" s="7">
        <v>293</v>
      </c>
      <c r="BE19" s="7">
        <v>9</v>
      </c>
      <c r="BF19" s="39"/>
      <c r="BG19" s="7"/>
      <c r="BH19" s="62"/>
      <c r="BI19" s="7"/>
      <c r="BJ19" s="32"/>
      <c r="BK19" s="223"/>
    </row>
    <row r="20" spans="1:63" s="6" customFormat="1" ht="23.25" customHeight="1" thickBot="1" x14ac:dyDescent="0.25">
      <c r="A20" s="62">
        <v>19</v>
      </c>
      <c r="B20" s="222"/>
      <c r="C20" s="222"/>
      <c r="D20" s="224"/>
      <c r="E20" s="13" t="s">
        <v>234</v>
      </c>
      <c r="F20" s="80">
        <f>(11.74-0.322)/14*100</f>
        <v>81.557142857142864</v>
      </c>
      <c r="G20" s="81">
        <f t="shared" si="6"/>
        <v>9</v>
      </c>
      <c r="H20" s="81">
        <v>0</v>
      </c>
      <c r="I20" s="81">
        <v>0</v>
      </c>
      <c r="J20" s="81">
        <v>0</v>
      </c>
      <c r="K20" s="81">
        <v>0</v>
      </c>
      <c r="L20" s="81">
        <v>0</v>
      </c>
      <c r="M20" s="81">
        <v>0</v>
      </c>
      <c r="N20" s="81">
        <v>0</v>
      </c>
      <c r="O20" s="81">
        <v>0</v>
      </c>
      <c r="P20" s="81">
        <f>0.322/14*100</f>
        <v>2.2999999999999998</v>
      </c>
      <c r="Q20" s="81">
        <v>0</v>
      </c>
      <c r="R20" s="81">
        <v>0</v>
      </c>
      <c r="S20" s="82">
        <v>0</v>
      </c>
      <c r="T20" s="81">
        <v>7.14</v>
      </c>
      <c r="U20" s="81">
        <v>0</v>
      </c>
      <c r="V20" s="81">
        <v>0</v>
      </c>
      <c r="W20" s="81">
        <v>0</v>
      </c>
      <c r="X20" s="81">
        <v>0</v>
      </c>
      <c r="Y20" s="81">
        <v>0</v>
      </c>
      <c r="Z20" s="81">
        <v>0</v>
      </c>
      <c r="AA20" s="81">
        <v>0</v>
      </c>
      <c r="AB20" s="81">
        <v>0</v>
      </c>
      <c r="AC20" s="81">
        <v>0</v>
      </c>
      <c r="AD20" s="83">
        <f t="shared" si="0"/>
        <v>99.997142857142862</v>
      </c>
      <c r="AE20" s="81">
        <f>1.525/14*100</f>
        <v>10.892857142857142</v>
      </c>
      <c r="AF20" s="81">
        <v>0</v>
      </c>
      <c r="AG20" s="81">
        <v>0</v>
      </c>
      <c r="AH20" s="81">
        <v>0</v>
      </c>
      <c r="AI20" s="157" t="s">
        <v>1528</v>
      </c>
      <c r="AJ20" s="65"/>
      <c r="AK20" s="95"/>
      <c r="AL20" s="200"/>
      <c r="AM20" s="190"/>
      <c r="AN20" s="190"/>
      <c r="AO20" s="190"/>
      <c r="AP20" s="190"/>
      <c r="AQ20" s="190"/>
      <c r="AR20" s="190"/>
      <c r="AS20" s="190"/>
      <c r="AT20" s="201"/>
      <c r="AU20" s="190"/>
      <c r="AV20" s="202"/>
      <c r="AW20" s="190"/>
      <c r="AX20" s="190"/>
      <c r="AY20" s="79"/>
      <c r="AZ20" s="65"/>
      <c r="BA20" s="78"/>
      <c r="BB20" s="65">
        <v>1.6</v>
      </c>
      <c r="BC20" s="65">
        <v>11.6</v>
      </c>
      <c r="BD20" s="65">
        <v>296</v>
      </c>
      <c r="BE20" s="65">
        <v>9.5</v>
      </c>
      <c r="BF20" s="79"/>
      <c r="BG20" s="65"/>
      <c r="BH20" s="78"/>
      <c r="BI20" s="65"/>
      <c r="BJ20" s="68"/>
      <c r="BK20" s="224"/>
    </row>
    <row r="21" spans="1:63" s="4" customFormat="1" ht="23.25" customHeight="1" x14ac:dyDescent="0.2">
      <c r="A21" s="7">
        <v>20</v>
      </c>
      <c r="B21" s="238">
        <v>21</v>
      </c>
      <c r="C21" s="238" t="s">
        <v>1524</v>
      </c>
      <c r="D21" s="225" t="s">
        <v>246</v>
      </c>
      <c r="E21" s="12" t="s">
        <v>241</v>
      </c>
      <c r="F21" s="87">
        <f>(11.7 - 0)/14*100</f>
        <v>83.571428571428569</v>
      </c>
      <c r="G21" s="88">
        <f>1.3/14*100</f>
        <v>9.2857142857142865</v>
      </c>
      <c r="H21" s="88">
        <v>0</v>
      </c>
      <c r="I21" s="88">
        <v>0</v>
      </c>
      <c r="J21" s="88">
        <v>0</v>
      </c>
      <c r="K21" s="88">
        <v>0</v>
      </c>
      <c r="L21" s="88">
        <v>0</v>
      </c>
      <c r="M21" s="88">
        <v>0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9">
        <v>0</v>
      </c>
      <c r="T21" s="88">
        <v>7.1428570000000002</v>
      </c>
      <c r="U21" s="88">
        <v>0</v>
      </c>
      <c r="V21" s="88">
        <v>0</v>
      </c>
      <c r="W21" s="88">
        <v>0</v>
      </c>
      <c r="X21" s="88">
        <v>0</v>
      </c>
      <c r="Y21" s="88">
        <v>0</v>
      </c>
      <c r="Z21" s="88">
        <v>0</v>
      </c>
      <c r="AA21" s="88">
        <v>0</v>
      </c>
      <c r="AB21" s="88">
        <v>0</v>
      </c>
      <c r="AC21" s="88">
        <v>0</v>
      </c>
      <c r="AD21" s="90">
        <f t="shared" si="0"/>
        <v>99.999999857142868</v>
      </c>
      <c r="AE21" s="88">
        <v>0</v>
      </c>
      <c r="AF21" s="88">
        <v>0</v>
      </c>
      <c r="AG21" s="88">
        <v>0</v>
      </c>
      <c r="AH21" s="88">
        <v>0</v>
      </c>
      <c r="AI21" s="156" t="s">
        <v>1531</v>
      </c>
      <c r="AJ21" s="45">
        <v>360</v>
      </c>
      <c r="AK21" s="91">
        <v>1323</v>
      </c>
      <c r="AL21" s="197"/>
      <c r="AM21" s="189"/>
      <c r="AN21" s="189"/>
      <c r="AO21" s="189"/>
      <c r="AP21" s="189"/>
      <c r="AQ21" s="189"/>
      <c r="AR21" s="189"/>
      <c r="AS21" s="189"/>
      <c r="AT21" s="198"/>
      <c r="AU21" s="189"/>
      <c r="AV21" s="199"/>
      <c r="AW21" s="189">
        <v>11.467000000000001</v>
      </c>
      <c r="AX21" s="189"/>
      <c r="AY21" s="156"/>
      <c r="AZ21" s="45">
        <v>190</v>
      </c>
      <c r="BA21" s="91"/>
      <c r="BB21" s="45" t="s">
        <v>523</v>
      </c>
      <c r="BC21" s="45" t="s">
        <v>1959</v>
      </c>
      <c r="BD21" s="45"/>
      <c r="BE21" s="45"/>
      <c r="BF21" s="156"/>
      <c r="BG21" s="45"/>
      <c r="BH21" s="91"/>
      <c r="BI21" s="45">
        <v>7.3</v>
      </c>
      <c r="BJ21" s="67"/>
      <c r="BK21" s="225" t="s">
        <v>8</v>
      </c>
    </row>
    <row r="22" spans="1:63" ht="23.25" customHeight="1" x14ac:dyDescent="0.2">
      <c r="A22" s="62">
        <v>21</v>
      </c>
      <c r="B22" s="221"/>
      <c r="C22" s="221"/>
      <c r="D22" s="223"/>
      <c r="E22" s="54" t="s">
        <v>242</v>
      </c>
      <c r="F22" s="16">
        <f>(11.7 - 0.3)/14*100</f>
        <v>81.428571428571416</v>
      </c>
      <c r="G22" s="8">
        <f>1.3/14*100</f>
        <v>9.2857142857142865</v>
      </c>
      <c r="H22" s="8">
        <v>0</v>
      </c>
      <c r="I22" s="8">
        <v>0</v>
      </c>
      <c r="J22" s="8">
        <f>0.3/14*100</f>
        <v>2.1428571428571428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17">
        <v>0</v>
      </c>
      <c r="T22" s="8">
        <v>7.1428570000000002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4">
        <f t="shared" si="0"/>
        <v>99.999999857142853</v>
      </c>
      <c r="AE22" s="8">
        <v>0</v>
      </c>
      <c r="AF22" s="8">
        <v>0</v>
      </c>
      <c r="AG22" s="8">
        <v>0</v>
      </c>
      <c r="AH22" s="8">
        <v>0</v>
      </c>
      <c r="AI22" s="39" t="s">
        <v>1531</v>
      </c>
      <c r="AJ22" s="7">
        <v>360</v>
      </c>
      <c r="AK22" s="62">
        <v>1323</v>
      </c>
      <c r="AL22" s="158"/>
      <c r="AM22" s="85"/>
      <c r="AN22" s="85"/>
      <c r="AO22" s="85"/>
      <c r="AP22" s="85"/>
      <c r="AQ22" s="85"/>
      <c r="AR22" s="85"/>
      <c r="AS22" s="85"/>
      <c r="AT22" s="205"/>
      <c r="AU22" s="85"/>
      <c r="AV22" s="196"/>
      <c r="AW22" s="85">
        <v>11.468999999999999</v>
      </c>
      <c r="AX22" s="85"/>
      <c r="AY22" s="39"/>
      <c r="AZ22" s="7">
        <v>223</v>
      </c>
      <c r="BA22" s="62"/>
      <c r="BB22" s="7" t="s">
        <v>523</v>
      </c>
      <c r="BC22" s="7" t="s">
        <v>528</v>
      </c>
      <c r="BD22" s="7"/>
      <c r="BE22" s="7"/>
      <c r="BF22" s="39"/>
      <c r="BG22" s="7"/>
      <c r="BH22" s="62"/>
      <c r="BI22" s="7">
        <v>7.31</v>
      </c>
      <c r="BJ22" s="32"/>
      <c r="BK22" s="223"/>
    </row>
    <row r="23" spans="1:63" ht="23.25" customHeight="1" x14ac:dyDescent="0.2">
      <c r="A23" s="7">
        <v>22</v>
      </c>
      <c r="B23" s="221"/>
      <c r="C23" s="221"/>
      <c r="D23" s="223"/>
      <c r="E23" s="54" t="s">
        <v>243</v>
      </c>
      <c r="F23" s="16">
        <f>(11.7 - 0.4)/14*100</f>
        <v>80.714285714285708</v>
      </c>
      <c r="G23" s="8">
        <f t="shared" ref="G23:G25" si="7">1.3/14*100</f>
        <v>9.2857142857142865</v>
      </c>
      <c r="H23" s="8">
        <v>0</v>
      </c>
      <c r="I23" s="8">
        <v>0</v>
      </c>
      <c r="J23" s="8">
        <f>0.4/14*100</f>
        <v>2.8571428571428572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17">
        <v>0</v>
      </c>
      <c r="T23" s="8">
        <v>7.1428570000000002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4">
        <f t="shared" si="0"/>
        <v>99.999999857142868</v>
      </c>
      <c r="AE23" s="8">
        <v>0</v>
      </c>
      <c r="AF23" s="8">
        <v>0</v>
      </c>
      <c r="AG23" s="8">
        <v>0</v>
      </c>
      <c r="AH23" s="8">
        <v>0</v>
      </c>
      <c r="AI23" s="39" t="s">
        <v>1531</v>
      </c>
      <c r="AJ23" s="7">
        <v>360</v>
      </c>
      <c r="AK23" s="62">
        <v>1323</v>
      </c>
      <c r="AL23" s="158"/>
      <c r="AM23" s="85"/>
      <c r="AN23" s="85"/>
      <c r="AO23" s="85"/>
      <c r="AP23" s="85"/>
      <c r="AQ23" s="85"/>
      <c r="AR23" s="85"/>
      <c r="AS23" s="85"/>
      <c r="AT23" s="205"/>
      <c r="AU23" s="85"/>
      <c r="AV23" s="196"/>
      <c r="AW23" s="85">
        <v>11.474</v>
      </c>
      <c r="AX23" s="85"/>
      <c r="AY23" s="39"/>
      <c r="AZ23" s="7">
        <v>240</v>
      </c>
      <c r="BA23" s="62"/>
      <c r="BB23" s="7" t="s">
        <v>523</v>
      </c>
      <c r="BC23" s="7" t="s">
        <v>543</v>
      </c>
      <c r="BD23" s="7"/>
      <c r="BE23" s="7"/>
      <c r="BF23" s="39"/>
      <c r="BG23" s="7"/>
      <c r="BH23" s="62"/>
      <c r="BI23" s="7">
        <v>7.3</v>
      </c>
      <c r="BJ23" s="32"/>
      <c r="BK23" s="223"/>
    </row>
    <row r="24" spans="1:63" ht="23.25" customHeight="1" x14ac:dyDescent="0.2">
      <c r="A24" s="62">
        <v>23</v>
      </c>
      <c r="B24" s="221"/>
      <c r="C24" s="221"/>
      <c r="D24" s="223"/>
      <c r="E24" s="54" t="s">
        <v>244</v>
      </c>
      <c r="F24" s="16">
        <f>(11.7 - 0.5)/14*100</f>
        <v>80</v>
      </c>
      <c r="G24" s="8">
        <f t="shared" si="7"/>
        <v>9.2857142857142865</v>
      </c>
      <c r="H24" s="8">
        <v>0</v>
      </c>
      <c r="I24" s="8">
        <v>0</v>
      </c>
      <c r="J24" s="8">
        <f>0.5/14*100</f>
        <v>3.5714285714285712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17">
        <v>0</v>
      </c>
      <c r="T24" s="8">
        <v>7.1428570000000002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14">
        <f t="shared" si="0"/>
        <v>99.999999857142868</v>
      </c>
      <c r="AE24" s="8">
        <v>0</v>
      </c>
      <c r="AF24" s="8">
        <v>0</v>
      </c>
      <c r="AG24" s="8">
        <v>0</v>
      </c>
      <c r="AH24" s="8">
        <v>0</v>
      </c>
      <c r="AI24" s="39" t="s">
        <v>1531</v>
      </c>
      <c r="AJ24" s="7">
        <v>360</v>
      </c>
      <c r="AK24" s="62">
        <v>1323</v>
      </c>
      <c r="AL24" s="158"/>
      <c r="AM24" s="85"/>
      <c r="AN24" s="85"/>
      <c r="AO24" s="85"/>
      <c r="AP24" s="85"/>
      <c r="AQ24" s="85"/>
      <c r="AR24" s="85"/>
      <c r="AS24" s="85"/>
      <c r="AT24" s="205"/>
      <c r="AU24" s="85"/>
      <c r="AV24" s="196"/>
      <c r="AW24" s="85">
        <v>11.475</v>
      </c>
      <c r="AX24" s="85"/>
      <c r="AY24" s="39"/>
      <c r="AZ24" s="7">
        <v>253</v>
      </c>
      <c r="BA24" s="62"/>
      <c r="BB24" s="7" t="s">
        <v>523</v>
      </c>
      <c r="BC24" s="7" t="s">
        <v>538</v>
      </c>
      <c r="BD24" s="7"/>
      <c r="BE24" s="7"/>
      <c r="BF24" s="39"/>
      <c r="BG24" s="7"/>
      <c r="BH24" s="62"/>
      <c r="BI24" s="7">
        <v>7.3</v>
      </c>
      <c r="BJ24" s="32"/>
      <c r="BK24" s="223"/>
    </row>
    <row r="25" spans="1:63" ht="23.25" customHeight="1" x14ac:dyDescent="0.2">
      <c r="A25" s="7">
        <v>24</v>
      </c>
      <c r="B25" s="221"/>
      <c r="C25" s="221"/>
      <c r="D25" s="223"/>
      <c r="E25" s="54" t="s">
        <v>245</v>
      </c>
      <c r="F25" s="16">
        <f>(11.7 - 0.6)/14*100</f>
        <v>79.285714285714278</v>
      </c>
      <c r="G25" s="8">
        <f t="shared" si="7"/>
        <v>9.2857142857142865</v>
      </c>
      <c r="H25" s="8">
        <v>0</v>
      </c>
      <c r="I25" s="8">
        <v>0</v>
      </c>
      <c r="J25" s="8">
        <f>0.6/14*100</f>
        <v>4.2857142857142856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17">
        <v>0</v>
      </c>
      <c r="T25" s="8">
        <v>7.1428570000000002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14">
        <f t="shared" si="0"/>
        <v>99.999999857142868</v>
      </c>
      <c r="AE25" s="8">
        <v>0</v>
      </c>
      <c r="AF25" s="8">
        <v>0</v>
      </c>
      <c r="AG25" s="8">
        <v>0</v>
      </c>
      <c r="AH25" s="8">
        <v>0</v>
      </c>
      <c r="AI25" s="39" t="s">
        <v>1531</v>
      </c>
      <c r="AJ25" s="7">
        <v>360</v>
      </c>
      <c r="AK25" s="62">
        <v>1323</v>
      </c>
      <c r="AL25" s="158"/>
      <c r="AM25" s="85"/>
      <c r="AN25" s="85"/>
      <c r="AO25" s="85"/>
      <c r="AP25" s="85"/>
      <c r="AQ25" s="85"/>
      <c r="AR25" s="85"/>
      <c r="AS25" s="85"/>
      <c r="AT25" s="205"/>
      <c r="AU25" s="85"/>
      <c r="AV25" s="196"/>
      <c r="AW25" s="85">
        <v>11.478</v>
      </c>
      <c r="AX25" s="85"/>
      <c r="AY25" s="39"/>
      <c r="AZ25" s="7">
        <v>265</v>
      </c>
      <c r="BA25" s="62"/>
      <c r="BB25" s="7" t="s">
        <v>523</v>
      </c>
      <c r="BC25" s="7" t="s">
        <v>539</v>
      </c>
      <c r="BD25" s="7"/>
      <c r="BE25" s="7"/>
      <c r="BF25" s="39"/>
      <c r="BG25" s="7"/>
      <c r="BH25" s="62"/>
      <c r="BI25" s="7">
        <v>7.3</v>
      </c>
      <c r="BJ25" s="32"/>
      <c r="BK25" s="223"/>
    </row>
    <row r="26" spans="1:63" ht="23.25" customHeight="1" x14ac:dyDescent="0.2">
      <c r="A26" s="62">
        <v>25</v>
      </c>
      <c r="B26" s="221"/>
      <c r="C26" s="221"/>
      <c r="D26" s="223" t="s">
        <v>247</v>
      </c>
      <c r="E26" s="54" t="s">
        <v>241</v>
      </c>
      <c r="F26" s="16">
        <f>(11.2 - 0)/14*100</f>
        <v>80</v>
      </c>
      <c r="G26" s="8">
        <f>1.1/14*100</f>
        <v>7.8571428571428585</v>
      </c>
      <c r="H26" s="8">
        <v>0</v>
      </c>
      <c r="I26" s="8">
        <v>0</v>
      </c>
      <c r="J26" s="8">
        <f>(0.7+0)/14*100</f>
        <v>5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17">
        <v>0</v>
      </c>
      <c r="T26" s="8">
        <v>7.1428570000000002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14">
        <f t="shared" si="0"/>
        <v>99.999999857142868</v>
      </c>
      <c r="AE26" s="8">
        <v>0</v>
      </c>
      <c r="AF26" s="8">
        <v>0</v>
      </c>
      <c r="AG26" s="8">
        <v>0</v>
      </c>
      <c r="AH26" s="8">
        <v>0</v>
      </c>
      <c r="AI26" s="39" t="s">
        <v>1531</v>
      </c>
      <c r="AJ26" s="7">
        <v>360</v>
      </c>
      <c r="AK26" s="62">
        <v>1323</v>
      </c>
      <c r="AL26" s="158"/>
      <c r="AM26" s="85"/>
      <c r="AN26" s="85"/>
      <c r="AO26" s="85"/>
      <c r="AP26" s="85"/>
      <c r="AQ26" s="85"/>
      <c r="AR26" s="85"/>
      <c r="AS26" s="85"/>
      <c r="AT26" s="205"/>
      <c r="AU26" s="85"/>
      <c r="AV26" s="196"/>
      <c r="AW26" s="85">
        <v>11.476000000000001</v>
      </c>
      <c r="AX26" s="85"/>
      <c r="AY26" s="39"/>
      <c r="AZ26" s="7">
        <v>270</v>
      </c>
      <c r="BA26" s="62"/>
      <c r="BB26" s="7" t="s">
        <v>523</v>
      </c>
      <c r="BC26" s="7" t="s">
        <v>540</v>
      </c>
      <c r="BD26" s="7"/>
      <c r="BE26" s="7"/>
      <c r="BF26" s="39"/>
      <c r="BG26" s="7"/>
      <c r="BH26" s="62"/>
      <c r="BI26" s="7">
        <v>7.35</v>
      </c>
      <c r="BJ26" s="32"/>
      <c r="BK26" s="223"/>
    </row>
    <row r="27" spans="1:63" ht="23.25" customHeight="1" x14ac:dyDescent="0.2">
      <c r="A27" s="7">
        <v>26</v>
      </c>
      <c r="B27" s="221"/>
      <c r="C27" s="221"/>
      <c r="D27" s="223"/>
      <c r="E27" s="54" t="s">
        <v>248</v>
      </c>
      <c r="F27" s="16">
        <f>(11.2 - 0.1)/14*100</f>
        <v>79.285714285714278</v>
      </c>
      <c r="G27" s="8">
        <f>1.1/14*100</f>
        <v>7.8571428571428585</v>
      </c>
      <c r="H27" s="8">
        <v>0</v>
      </c>
      <c r="I27" s="8">
        <v>0</v>
      </c>
      <c r="J27" s="8">
        <f>(0.7+0.1)/14*100</f>
        <v>5.7142857142857144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17">
        <v>0</v>
      </c>
      <c r="T27" s="8">
        <v>7.1428570000000002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14">
        <f t="shared" si="0"/>
        <v>99.999999857142853</v>
      </c>
      <c r="AE27" s="8">
        <v>0</v>
      </c>
      <c r="AF27" s="8">
        <v>0</v>
      </c>
      <c r="AG27" s="8">
        <v>0</v>
      </c>
      <c r="AH27" s="8">
        <v>0</v>
      </c>
      <c r="AI27" s="39" t="s">
        <v>1531</v>
      </c>
      <c r="AJ27" s="7">
        <v>360</v>
      </c>
      <c r="AK27" s="62">
        <v>1323</v>
      </c>
      <c r="AL27" s="158"/>
      <c r="AM27" s="85"/>
      <c r="AN27" s="85"/>
      <c r="AO27" s="85"/>
      <c r="AP27" s="85"/>
      <c r="AQ27" s="85"/>
      <c r="AR27" s="85"/>
      <c r="AS27" s="85"/>
      <c r="AT27" s="205"/>
      <c r="AU27" s="85"/>
      <c r="AV27" s="196"/>
      <c r="AW27" s="85">
        <v>11.478</v>
      </c>
      <c r="AX27" s="85"/>
      <c r="AY27" s="39"/>
      <c r="AZ27" s="7">
        <v>282</v>
      </c>
      <c r="BA27" s="62"/>
      <c r="BB27" s="7" t="s">
        <v>523</v>
      </c>
      <c r="BC27" s="7" t="s">
        <v>541</v>
      </c>
      <c r="BD27" s="7"/>
      <c r="BE27" s="7"/>
      <c r="BF27" s="39"/>
      <c r="BG27" s="7"/>
      <c r="BH27" s="62"/>
      <c r="BI27" s="7">
        <v>7.35</v>
      </c>
      <c r="BJ27" s="32"/>
      <c r="BK27" s="223"/>
    </row>
    <row r="28" spans="1:63" s="6" customFormat="1" ht="23.25" customHeight="1" thickBot="1" x14ac:dyDescent="0.25">
      <c r="A28" s="62">
        <v>27</v>
      </c>
      <c r="B28" s="222"/>
      <c r="C28" s="222"/>
      <c r="D28" s="224"/>
      <c r="E28" s="13" t="s">
        <v>249</v>
      </c>
      <c r="F28" s="80">
        <f>(11.2 - 0.2)/14*100</f>
        <v>78.571428571428569</v>
      </c>
      <c r="G28" s="81">
        <f>1.1/14*100</f>
        <v>7.8571428571428585</v>
      </c>
      <c r="H28" s="81">
        <v>0</v>
      </c>
      <c r="I28" s="81">
        <v>0</v>
      </c>
      <c r="J28" s="81">
        <f>(0.7+0.2)/14*100</f>
        <v>6.4285714285714279</v>
      </c>
      <c r="K28" s="81">
        <v>0</v>
      </c>
      <c r="L28" s="81">
        <v>0</v>
      </c>
      <c r="M28" s="81">
        <v>0</v>
      </c>
      <c r="N28" s="81">
        <v>0</v>
      </c>
      <c r="O28" s="81">
        <v>0</v>
      </c>
      <c r="P28" s="81">
        <v>0</v>
      </c>
      <c r="Q28" s="81">
        <v>0</v>
      </c>
      <c r="R28" s="81">
        <v>0</v>
      </c>
      <c r="S28" s="82">
        <v>0</v>
      </c>
      <c r="T28" s="81">
        <v>7.1428570000000002</v>
      </c>
      <c r="U28" s="81">
        <v>0</v>
      </c>
      <c r="V28" s="81">
        <v>0</v>
      </c>
      <c r="W28" s="81">
        <v>0</v>
      </c>
      <c r="X28" s="81">
        <v>0</v>
      </c>
      <c r="Y28" s="81">
        <v>0</v>
      </c>
      <c r="Z28" s="81">
        <v>0</v>
      </c>
      <c r="AA28" s="81">
        <v>0</v>
      </c>
      <c r="AB28" s="81">
        <v>0</v>
      </c>
      <c r="AC28" s="81">
        <v>0</v>
      </c>
      <c r="AD28" s="83">
        <f t="shared" si="0"/>
        <v>99.999999857142868</v>
      </c>
      <c r="AE28" s="81">
        <v>0</v>
      </c>
      <c r="AF28" s="81">
        <v>0</v>
      </c>
      <c r="AG28" s="81">
        <v>0</v>
      </c>
      <c r="AH28" s="81">
        <v>0</v>
      </c>
      <c r="AI28" s="79" t="s">
        <v>1531</v>
      </c>
      <c r="AJ28" s="65">
        <v>360</v>
      </c>
      <c r="AK28" s="78">
        <v>1323</v>
      </c>
      <c r="AL28" s="200"/>
      <c r="AM28" s="190"/>
      <c r="AN28" s="190"/>
      <c r="AO28" s="190"/>
      <c r="AP28" s="190"/>
      <c r="AQ28" s="190"/>
      <c r="AR28" s="190"/>
      <c r="AS28" s="190"/>
      <c r="AT28" s="201"/>
      <c r="AU28" s="190"/>
      <c r="AV28" s="202"/>
      <c r="AW28" s="190">
        <v>11.477</v>
      </c>
      <c r="AX28" s="190"/>
      <c r="AY28" s="79"/>
      <c r="AZ28" s="65">
        <v>294</v>
      </c>
      <c r="BA28" s="78"/>
      <c r="BB28" s="65" t="s">
        <v>523</v>
      </c>
      <c r="BC28" s="65" t="s">
        <v>542</v>
      </c>
      <c r="BD28" s="65"/>
      <c r="BE28" s="65"/>
      <c r="BF28" s="79"/>
      <c r="BG28" s="65"/>
      <c r="BH28" s="78"/>
      <c r="BI28" s="65">
        <v>7.36</v>
      </c>
      <c r="BJ28" s="68"/>
      <c r="BK28" s="224"/>
    </row>
    <row r="29" spans="1:63" s="4" customFormat="1" ht="23.25" customHeight="1" x14ac:dyDescent="0.2">
      <c r="A29" s="7">
        <v>28</v>
      </c>
      <c r="B29" s="238">
        <v>22</v>
      </c>
      <c r="C29" s="238" t="s">
        <v>1525</v>
      </c>
      <c r="D29" s="225" t="s">
        <v>260</v>
      </c>
      <c r="E29" s="12" t="s">
        <v>241</v>
      </c>
      <c r="F29" s="87">
        <f>11.8/14*100</f>
        <v>84.285714285714292</v>
      </c>
      <c r="G29" s="88">
        <v>8.5714290000000002</v>
      </c>
      <c r="H29" s="88">
        <v>0</v>
      </c>
      <c r="I29" s="88">
        <v>0</v>
      </c>
      <c r="J29" s="88">
        <v>0</v>
      </c>
      <c r="K29" s="88">
        <v>0</v>
      </c>
      <c r="L29" s="88">
        <v>0</v>
      </c>
      <c r="M29" s="88">
        <v>0</v>
      </c>
      <c r="N29" s="88">
        <v>0</v>
      </c>
      <c r="O29" s="88">
        <v>0</v>
      </c>
      <c r="P29" s="88">
        <v>0</v>
      </c>
      <c r="Q29" s="88">
        <v>0</v>
      </c>
      <c r="R29" s="88">
        <v>0</v>
      </c>
      <c r="S29" s="89">
        <v>0</v>
      </c>
      <c r="T29" s="88">
        <v>7.1428570000000002</v>
      </c>
      <c r="U29" s="88">
        <v>0</v>
      </c>
      <c r="V29" s="88">
        <v>0</v>
      </c>
      <c r="W29" s="88">
        <v>0</v>
      </c>
      <c r="X29" s="88">
        <v>0</v>
      </c>
      <c r="Y29" s="88">
        <v>0</v>
      </c>
      <c r="Z29" s="88">
        <v>0</v>
      </c>
      <c r="AA29" s="88">
        <v>0</v>
      </c>
      <c r="AB29" s="88">
        <v>0</v>
      </c>
      <c r="AC29" s="88">
        <v>0</v>
      </c>
      <c r="AD29" s="90">
        <f t="shared" si="0"/>
        <v>100.00000028571429</v>
      </c>
      <c r="AE29" s="88">
        <v>0</v>
      </c>
      <c r="AF29" s="88">
        <v>0</v>
      </c>
      <c r="AG29" s="88">
        <v>0</v>
      </c>
      <c r="AH29" s="88">
        <v>0</v>
      </c>
      <c r="AI29" s="156" t="s">
        <v>1531</v>
      </c>
      <c r="AJ29" s="45">
        <v>168</v>
      </c>
      <c r="AK29" s="91">
        <v>1373</v>
      </c>
      <c r="AL29" s="197">
        <v>90</v>
      </c>
      <c r="AM29" s="189">
        <v>9.5</v>
      </c>
      <c r="AN29" s="189">
        <v>0.5</v>
      </c>
      <c r="AO29" s="189"/>
      <c r="AP29" s="189"/>
      <c r="AQ29" s="189"/>
      <c r="AR29" s="189"/>
      <c r="AS29" s="189"/>
      <c r="AT29" s="198"/>
      <c r="AU29" s="189">
        <v>0</v>
      </c>
      <c r="AV29" s="199">
        <f t="shared" ref="AV29:AV38" si="8">SUM(AL29:AT29)</f>
        <v>100</v>
      </c>
      <c r="AW29" s="189"/>
      <c r="AX29" s="189"/>
      <c r="AY29" s="156"/>
      <c r="AZ29" s="45">
        <v>185.1</v>
      </c>
      <c r="BA29" s="91"/>
      <c r="BB29" s="45">
        <v>2</v>
      </c>
      <c r="BC29" s="45">
        <v>24</v>
      </c>
      <c r="BD29" s="45">
        <v>185</v>
      </c>
      <c r="BE29" s="45">
        <v>9.4</v>
      </c>
      <c r="BF29" s="156">
        <v>1.95</v>
      </c>
      <c r="BG29" s="45">
        <v>7</v>
      </c>
      <c r="BH29" s="91">
        <v>185</v>
      </c>
      <c r="BI29" s="45"/>
      <c r="BJ29" s="67"/>
      <c r="BK29" s="225" t="s">
        <v>1743</v>
      </c>
    </row>
    <row r="30" spans="1:63" ht="23.25" customHeight="1" x14ac:dyDescent="0.2">
      <c r="A30" s="62">
        <v>29</v>
      </c>
      <c r="B30" s="221"/>
      <c r="C30" s="221"/>
      <c r="D30" s="223"/>
      <c r="E30" s="54" t="s">
        <v>248</v>
      </c>
      <c r="F30" s="16">
        <v>83.571430000000007</v>
      </c>
      <c r="G30" s="8">
        <v>8.5714290000000002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0.71428599999999998</v>
      </c>
      <c r="Q30" s="8">
        <v>0</v>
      </c>
      <c r="R30" s="8">
        <v>0</v>
      </c>
      <c r="S30" s="17">
        <v>0</v>
      </c>
      <c r="T30" s="8">
        <v>7.1428570000000002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14">
        <f t="shared" si="0"/>
        <v>100.00000200000001</v>
      </c>
      <c r="AE30" s="8">
        <v>0</v>
      </c>
      <c r="AF30" s="8">
        <v>0</v>
      </c>
      <c r="AG30" s="8">
        <v>0</v>
      </c>
      <c r="AH30" s="8">
        <v>0</v>
      </c>
      <c r="AI30" s="39" t="s">
        <v>1531</v>
      </c>
      <c r="AJ30" s="7">
        <v>168</v>
      </c>
      <c r="AK30" s="62">
        <v>1373</v>
      </c>
      <c r="AL30" s="158">
        <v>88</v>
      </c>
      <c r="AM30" s="85">
        <v>11.5</v>
      </c>
      <c r="AN30" s="85">
        <v>0.5</v>
      </c>
      <c r="AO30" s="85"/>
      <c r="AP30" s="85"/>
      <c r="AQ30" s="85"/>
      <c r="AR30" s="85"/>
      <c r="AS30" s="85"/>
      <c r="AT30" s="205"/>
      <c r="AU30" s="85">
        <v>0</v>
      </c>
      <c r="AV30" s="196">
        <f t="shared" si="8"/>
        <v>100</v>
      </c>
      <c r="AW30" s="85"/>
      <c r="AX30" s="85"/>
      <c r="AY30" s="39"/>
      <c r="AZ30" s="7">
        <v>175.2</v>
      </c>
      <c r="BA30" s="62"/>
      <c r="BB30" s="7">
        <v>2</v>
      </c>
      <c r="BC30" s="7">
        <v>20.5</v>
      </c>
      <c r="BD30" s="7">
        <v>175</v>
      </c>
      <c r="BE30" s="7">
        <v>11</v>
      </c>
      <c r="BF30" s="39">
        <v>1.95</v>
      </c>
      <c r="BG30" s="7">
        <v>6.2</v>
      </c>
      <c r="BH30" s="62">
        <v>175</v>
      </c>
      <c r="BI30" s="7"/>
      <c r="BJ30" s="32"/>
      <c r="BK30" s="223"/>
    </row>
    <row r="31" spans="1:63" ht="23.25" customHeight="1" x14ac:dyDescent="0.2">
      <c r="A31" s="7">
        <v>30</v>
      </c>
      <c r="B31" s="221"/>
      <c r="C31" s="221"/>
      <c r="D31" s="223"/>
      <c r="E31" s="54" t="s">
        <v>249</v>
      </c>
      <c r="F31" s="16">
        <v>82.857140000000001</v>
      </c>
      <c r="G31" s="8">
        <v>8.5714290000000002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1.428571</v>
      </c>
      <c r="Q31" s="8">
        <v>0</v>
      </c>
      <c r="R31" s="8">
        <v>0</v>
      </c>
      <c r="S31" s="17">
        <v>0</v>
      </c>
      <c r="T31" s="8">
        <v>7.1428570000000002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14">
        <f t="shared" si="0"/>
        <v>99.999997000000008</v>
      </c>
      <c r="AE31" s="8">
        <v>0</v>
      </c>
      <c r="AF31" s="8">
        <v>0</v>
      </c>
      <c r="AG31" s="8">
        <v>0</v>
      </c>
      <c r="AH31" s="8">
        <v>0</v>
      </c>
      <c r="AI31" s="39" t="s">
        <v>1531</v>
      </c>
      <c r="AJ31" s="7">
        <v>168</v>
      </c>
      <c r="AK31" s="62">
        <v>1373</v>
      </c>
      <c r="AL31" s="158">
        <v>84</v>
      </c>
      <c r="AM31" s="85">
        <v>15.5</v>
      </c>
      <c r="AN31" s="85">
        <v>0.5</v>
      </c>
      <c r="AO31" s="85"/>
      <c r="AP31" s="85"/>
      <c r="AQ31" s="85"/>
      <c r="AR31" s="85"/>
      <c r="AS31" s="85"/>
      <c r="AT31" s="205"/>
      <c r="AU31" s="85">
        <v>0</v>
      </c>
      <c r="AV31" s="196">
        <f t="shared" si="8"/>
        <v>100</v>
      </c>
      <c r="AW31" s="85"/>
      <c r="AX31" s="85"/>
      <c r="AY31" s="39"/>
      <c r="AZ31" s="7">
        <v>160.1</v>
      </c>
      <c r="BA31" s="62"/>
      <c r="BB31" s="7">
        <v>2</v>
      </c>
      <c r="BC31" s="7">
        <v>14.9</v>
      </c>
      <c r="BD31" s="7">
        <v>160</v>
      </c>
      <c r="BE31" s="7">
        <v>10.7</v>
      </c>
      <c r="BF31" s="39">
        <v>1.95</v>
      </c>
      <c r="BG31" s="7">
        <v>5.0999999999999996</v>
      </c>
      <c r="BH31" s="62">
        <v>160</v>
      </c>
      <c r="BI31" s="7"/>
      <c r="BJ31" s="32"/>
      <c r="BK31" s="223"/>
    </row>
    <row r="32" spans="1:63" ht="23.25" customHeight="1" x14ac:dyDescent="0.2">
      <c r="A32" s="62">
        <v>31</v>
      </c>
      <c r="B32" s="221"/>
      <c r="C32" s="221"/>
      <c r="D32" s="223"/>
      <c r="E32" s="54" t="s">
        <v>242</v>
      </c>
      <c r="F32" s="16">
        <v>82.142859999999999</v>
      </c>
      <c r="G32" s="8">
        <v>8.5714290000000002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2.1428569999999998</v>
      </c>
      <c r="Q32" s="8">
        <v>0</v>
      </c>
      <c r="R32" s="8">
        <v>0</v>
      </c>
      <c r="S32" s="17">
        <v>0</v>
      </c>
      <c r="T32" s="8">
        <v>7.1428570000000002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14">
        <f t="shared" si="0"/>
        <v>100.00000300000001</v>
      </c>
      <c r="AE32" s="8">
        <v>0</v>
      </c>
      <c r="AF32" s="8">
        <v>0</v>
      </c>
      <c r="AG32" s="8">
        <v>0</v>
      </c>
      <c r="AH32" s="8">
        <v>0</v>
      </c>
      <c r="AI32" s="39" t="s">
        <v>1531</v>
      </c>
      <c r="AJ32" s="7">
        <v>168</v>
      </c>
      <c r="AK32" s="62">
        <v>1373</v>
      </c>
      <c r="AL32" s="158">
        <v>83</v>
      </c>
      <c r="AM32" s="85">
        <v>16.5</v>
      </c>
      <c r="AN32" s="85">
        <v>0.5</v>
      </c>
      <c r="AO32" s="85"/>
      <c r="AP32" s="85"/>
      <c r="AQ32" s="85"/>
      <c r="AR32" s="85"/>
      <c r="AS32" s="85"/>
      <c r="AT32" s="205"/>
      <c r="AU32" s="85">
        <v>0</v>
      </c>
      <c r="AV32" s="196">
        <f t="shared" si="8"/>
        <v>100</v>
      </c>
      <c r="AW32" s="85"/>
      <c r="AX32" s="85"/>
      <c r="AY32" s="39"/>
      <c r="AZ32" s="7">
        <v>146.4</v>
      </c>
      <c r="BA32" s="62"/>
      <c r="BB32" s="7">
        <v>2</v>
      </c>
      <c r="BC32" s="7">
        <v>10.6</v>
      </c>
      <c r="BD32" s="7">
        <v>146</v>
      </c>
      <c r="BE32" s="7">
        <v>14.5</v>
      </c>
      <c r="BF32" s="39">
        <v>1.95</v>
      </c>
      <c r="BG32" s="7">
        <v>3.8</v>
      </c>
      <c r="BH32" s="62">
        <v>146</v>
      </c>
      <c r="BI32" s="7"/>
      <c r="BJ32" s="32"/>
      <c r="BK32" s="223"/>
    </row>
    <row r="33" spans="1:63" ht="23.25" customHeight="1" x14ac:dyDescent="0.2">
      <c r="A33" s="7">
        <v>32</v>
      </c>
      <c r="B33" s="221"/>
      <c r="C33" s="221"/>
      <c r="D33" s="223"/>
      <c r="E33" s="54" t="s">
        <v>243</v>
      </c>
      <c r="F33" s="16">
        <v>81.428569999999993</v>
      </c>
      <c r="G33" s="8">
        <v>8.5714290000000002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2.8571430000000002</v>
      </c>
      <c r="Q33" s="8">
        <v>0</v>
      </c>
      <c r="R33" s="8">
        <v>0</v>
      </c>
      <c r="S33" s="17">
        <v>0</v>
      </c>
      <c r="T33" s="8">
        <v>7.1428570000000002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14">
        <f t="shared" si="0"/>
        <v>99.999998999999988</v>
      </c>
      <c r="AE33" s="8">
        <v>0</v>
      </c>
      <c r="AF33" s="8">
        <v>0</v>
      </c>
      <c r="AG33" s="8">
        <v>0</v>
      </c>
      <c r="AH33" s="8">
        <v>0</v>
      </c>
      <c r="AI33" s="39" t="s">
        <v>1531</v>
      </c>
      <c r="AJ33" s="7">
        <v>168</v>
      </c>
      <c r="AK33" s="62">
        <v>1373</v>
      </c>
      <c r="AL33" s="193">
        <v>82.6</v>
      </c>
      <c r="AM33" s="192">
        <v>16.899999999999999</v>
      </c>
      <c r="AN33" s="192">
        <v>0.5</v>
      </c>
      <c r="AO33" s="85"/>
      <c r="AP33" s="85"/>
      <c r="AQ33" s="85"/>
      <c r="AR33" s="85"/>
      <c r="AS33" s="85"/>
      <c r="AT33" s="205"/>
      <c r="AU33" s="85">
        <v>0</v>
      </c>
      <c r="AV33" s="196">
        <f t="shared" si="8"/>
        <v>100</v>
      </c>
      <c r="AW33" s="85"/>
      <c r="AX33" s="85"/>
      <c r="AY33" s="39"/>
      <c r="AZ33" s="7">
        <v>134.5</v>
      </c>
      <c r="BA33" s="62"/>
      <c r="BB33" s="7">
        <v>2</v>
      </c>
      <c r="BC33" s="7">
        <v>8.5</v>
      </c>
      <c r="BD33" s="7">
        <v>134</v>
      </c>
      <c r="BE33" s="7">
        <v>16.899999999999999</v>
      </c>
      <c r="BF33" s="39">
        <v>1.95</v>
      </c>
      <c r="BG33" s="7">
        <v>2.8</v>
      </c>
      <c r="BH33" s="62">
        <v>134</v>
      </c>
      <c r="BI33" s="7"/>
      <c r="BJ33" s="32"/>
      <c r="BK33" s="223"/>
    </row>
    <row r="34" spans="1:63" ht="23.25" customHeight="1" x14ac:dyDescent="0.2">
      <c r="A34" s="62">
        <v>33</v>
      </c>
      <c r="B34" s="221"/>
      <c r="C34" s="221"/>
      <c r="D34" s="223" t="s">
        <v>261</v>
      </c>
      <c r="E34" s="54" t="s">
        <v>241</v>
      </c>
      <c r="F34" s="16">
        <v>82.857140000000001</v>
      </c>
      <c r="G34" s="8">
        <v>10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17">
        <v>0</v>
      </c>
      <c r="T34" s="8">
        <v>7.1428570000000002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14">
        <f t="shared" si="0"/>
        <v>99.999997000000008</v>
      </c>
      <c r="AE34" s="8">
        <v>0</v>
      </c>
      <c r="AF34" s="8">
        <v>0</v>
      </c>
      <c r="AG34" s="8">
        <v>0</v>
      </c>
      <c r="AH34" s="8">
        <v>0</v>
      </c>
      <c r="AI34" s="39" t="s">
        <v>1531</v>
      </c>
      <c r="AJ34" s="7">
        <v>168</v>
      </c>
      <c r="AK34" s="62">
        <v>1323</v>
      </c>
      <c r="AL34" s="158">
        <v>95.6</v>
      </c>
      <c r="AM34" s="85">
        <v>3.9</v>
      </c>
      <c r="AN34" s="85">
        <v>0.5</v>
      </c>
      <c r="AO34" s="85"/>
      <c r="AP34" s="85"/>
      <c r="AQ34" s="85"/>
      <c r="AR34" s="85"/>
      <c r="AS34" s="85"/>
      <c r="AT34" s="205"/>
      <c r="AU34" s="85">
        <v>0</v>
      </c>
      <c r="AV34" s="196">
        <f t="shared" si="8"/>
        <v>100</v>
      </c>
      <c r="AW34" s="85"/>
      <c r="AX34" s="85"/>
      <c r="AY34" s="39"/>
      <c r="AZ34" s="7">
        <v>198.1</v>
      </c>
      <c r="BA34" s="62"/>
      <c r="BB34" s="7">
        <v>2</v>
      </c>
      <c r="BC34" s="7">
        <v>20.2</v>
      </c>
      <c r="BD34" s="7">
        <v>198</v>
      </c>
      <c r="BE34" s="7">
        <v>9.9</v>
      </c>
      <c r="BF34" s="39">
        <v>1.95</v>
      </c>
      <c r="BG34" s="7">
        <v>6.2</v>
      </c>
      <c r="BH34" s="62">
        <v>198</v>
      </c>
      <c r="BI34" s="7"/>
      <c r="BJ34" s="32"/>
      <c r="BK34" s="223"/>
    </row>
    <row r="35" spans="1:63" ht="23.25" customHeight="1" x14ac:dyDescent="0.2">
      <c r="A35" s="7">
        <v>34</v>
      </c>
      <c r="B35" s="221"/>
      <c r="C35" s="221"/>
      <c r="D35" s="223"/>
      <c r="E35" s="54" t="s">
        <v>248</v>
      </c>
      <c r="F35" s="16">
        <v>82.142859999999999</v>
      </c>
      <c r="G35" s="8">
        <v>10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0.71428599999999998</v>
      </c>
      <c r="Q35" s="8">
        <v>0</v>
      </c>
      <c r="R35" s="8">
        <v>0</v>
      </c>
      <c r="S35" s="17">
        <v>0</v>
      </c>
      <c r="T35" s="8">
        <v>7.1428570000000002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14">
        <f t="shared" si="0"/>
        <v>100.00000300000001</v>
      </c>
      <c r="AE35" s="8">
        <v>0</v>
      </c>
      <c r="AF35" s="8">
        <v>0</v>
      </c>
      <c r="AG35" s="8">
        <v>0</v>
      </c>
      <c r="AH35" s="8">
        <v>0</v>
      </c>
      <c r="AI35" s="39" t="s">
        <v>1531</v>
      </c>
      <c r="AJ35" s="7">
        <v>168</v>
      </c>
      <c r="AK35" s="62">
        <v>1323</v>
      </c>
      <c r="AL35" s="158">
        <v>92</v>
      </c>
      <c r="AM35" s="85">
        <v>6</v>
      </c>
      <c r="AN35" s="85">
        <v>2</v>
      </c>
      <c r="AO35" s="85"/>
      <c r="AP35" s="85"/>
      <c r="AQ35" s="85"/>
      <c r="AR35" s="85"/>
      <c r="AS35" s="85"/>
      <c r="AT35" s="205"/>
      <c r="AU35" s="85">
        <v>0</v>
      </c>
      <c r="AV35" s="196">
        <f t="shared" si="8"/>
        <v>100</v>
      </c>
      <c r="AW35" s="85"/>
      <c r="AX35" s="85"/>
      <c r="AY35" s="39"/>
      <c r="AZ35" s="7">
        <v>184.1</v>
      </c>
      <c r="BA35" s="62"/>
      <c r="BB35" s="7">
        <v>2</v>
      </c>
      <c r="BC35" s="7">
        <v>17</v>
      </c>
      <c r="BD35" s="7">
        <v>184</v>
      </c>
      <c r="BE35" s="7">
        <v>11.3</v>
      </c>
      <c r="BF35" s="39">
        <v>1.95</v>
      </c>
      <c r="BG35" s="7">
        <v>6.7</v>
      </c>
      <c r="BH35" s="62">
        <v>184</v>
      </c>
      <c r="BI35" s="7"/>
      <c r="BJ35" s="32"/>
      <c r="BK35" s="223"/>
    </row>
    <row r="36" spans="1:63" ht="23.25" customHeight="1" x14ac:dyDescent="0.2">
      <c r="A36" s="62">
        <v>35</v>
      </c>
      <c r="B36" s="221"/>
      <c r="C36" s="221"/>
      <c r="D36" s="223"/>
      <c r="E36" s="54" t="s">
        <v>249</v>
      </c>
      <c r="F36" s="16">
        <v>81.428569999999993</v>
      </c>
      <c r="G36" s="8">
        <v>10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1.428571</v>
      </c>
      <c r="Q36" s="8">
        <v>0</v>
      </c>
      <c r="R36" s="8">
        <v>0</v>
      </c>
      <c r="S36" s="17">
        <v>0</v>
      </c>
      <c r="T36" s="8">
        <v>7.1428570000000002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14">
        <f t="shared" si="0"/>
        <v>99.999998000000005</v>
      </c>
      <c r="AE36" s="8">
        <v>0</v>
      </c>
      <c r="AF36" s="8">
        <v>0</v>
      </c>
      <c r="AG36" s="8">
        <v>0</v>
      </c>
      <c r="AH36" s="8">
        <v>0</v>
      </c>
      <c r="AI36" s="39" t="s">
        <v>1531</v>
      </c>
      <c r="AJ36" s="7">
        <v>168</v>
      </c>
      <c r="AK36" s="62">
        <v>1323</v>
      </c>
      <c r="AL36" s="158">
        <v>90.5</v>
      </c>
      <c r="AM36" s="85">
        <v>8.5</v>
      </c>
      <c r="AN36" s="85">
        <v>1</v>
      </c>
      <c r="AO36" s="85"/>
      <c r="AP36" s="85"/>
      <c r="AQ36" s="85"/>
      <c r="AR36" s="85"/>
      <c r="AS36" s="85"/>
      <c r="AT36" s="205"/>
      <c r="AU36" s="85">
        <v>0</v>
      </c>
      <c r="AV36" s="196">
        <f t="shared" si="8"/>
        <v>100</v>
      </c>
      <c r="AW36" s="85"/>
      <c r="AX36" s="85"/>
      <c r="AY36" s="39"/>
      <c r="AZ36" s="7">
        <v>173.1</v>
      </c>
      <c r="BA36" s="62"/>
      <c r="BB36" s="7">
        <v>2</v>
      </c>
      <c r="BC36" s="7">
        <v>14.7</v>
      </c>
      <c r="BD36" s="7">
        <v>173</v>
      </c>
      <c r="BE36" s="7">
        <v>11.8</v>
      </c>
      <c r="BF36" s="39">
        <v>1.95</v>
      </c>
      <c r="BG36" s="7">
        <v>5.3</v>
      </c>
      <c r="BH36" s="62">
        <v>173</v>
      </c>
      <c r="BI36" s="7"/>
      <c r="BJ36" s="32"/>
      <c r="BK36" s="223"/>
    </row>
    <row r="37" spans="1:63" ht="23.25" customHeight="1" x14ac:dyDescent="0.2">
      <c r="A37" s="7">
        <v>36</v>
      </c>
      <c r="B37" s="221"/>
      <c r="C37" s="221"/>
      <c r="D37" s="223"/>
      <c r="E37" s="54" t="s">
        <v>242</v>
      </c>
      <c r="F37" s="16">
        <v>80.714290000000005</v>
      </c>
      <c r="G37" s="8">
        <v>10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2.1428569999999998</v>
      </c>
      <c r="Q37" s="8">
        <v>0</v>
      </c>
      <c r="R37" s="8">
        <v>0</v>
      </c>
      <c r="S37" s="17">
        <v>0</v>
      </c>
      <c r="T37" s="8">
        <v>7.1428570000000002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14">
        <f t="shared" si="0"/>
        <v>100.00000400000002</v>
      </c>
      <c r="AE37" s="8">
        <v>0</v>
      </c>
      <c r="AF37" s="8">
        <v>0</v>
      </c>
      <c r="AG37" s="8">
        <v>0</v>
      </c>
      <c r="AH37" s="8">
        <v>0</v>
      </c>
      <c r="AI37" s="39" t="s">
        <v>1531</v>
      </c>
      <c r="AJ37" s="7">
        <v>168</v>
      </c>
      <c r="AK37" s="62">
        <v>1323</v>
      </c>
      <c r="AL37" s="158">
        <v>93.5</v>
      </c>
      <c r="AM37" s="85">
        <v>5</v>
      </c>
      <c r="AN37" s="85">
        <v>1.5</v>
      </c>
      <c r="AO37" s="85"/>
      <c r="AP37" s="85"/>
      <c r="AQ37" s="85"/>
      <c r="AR37" s="85"/>
      <c r="AS37" s="85"/>
      <c r="AT37" s="205"/>
      <c r="AU37" s="85">
        <v>0</v>
      </c>
      <c r="AV37" s="196">
        <f t="shared" si="8"/>
        <v>100</v>
      </c>
      <c r="AW37" s="85"/>
      <c r="AX37" s="85"/>
      <c r="AY37" s="39"/>
      <c r="AZ37" s="7">
        <v>159.1</v>
      </c>
      <c r="BA37" s="62"/>
      <c r="BB37" s="7">
        <v>2</v>
      </c>
      <c r="BC37" s="7">
        <v>11.4</v>
      </c>
      <c r="BD37" s="7">
        <v>159</v>
      </c>
      <c r="BE37" s="7">
        <v>13.7</v>
      </c>
      <c r="BF37" s="39">
        <v>1.95</v>
      </c>
      <c r="BG37" s="7">
        <v>3.9</v>
      </c>
      <c r="BH37" s="62">
        <v>159</v>
      </c>
      <c r="BI37" s="7"/>
      <c r="BJ37" s="32"/>
      <c r="BK37" s="223"/>
    </row>
    <row r="38" spans="1:63" ht="23.25" customHeight="1" x14ac:dyDescent="0.2">
      <c r="A38" s="62">
        <v>37</v>
      </c>
      <c r="B38" s="221"/>
      <c r="C38" s="221"/>
      <c r="D38" s="223"/>
      <c r="E38" s="54" t="s">
        <v>243</v>
      </c>
      <c r="F38" s="16">
        <v>80</v>
      </c>
      <c r="G38" s="8">
        <v>10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2.8571430000000002</v>
      </c>
      <c r="Q38" s="8">
        <v>0</v>
      </c>
      <c r="R38" s="8">
        <v>0</v>
      </c>
      <c r="S38" s="17">
        <v>0</v>
      </c>
      <c r="T38" s="8">
        <v>7.1428570000000002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14">
        <f t="shared" si="0"/>
        <v>100</v>
      </c>
      <c r="AE38" s="8">
        <v>0</v>
      </c>
      <c r="AF38" s="8">
        <v>0</v>
      </c>
      <c r="AG38" s="8">
        <v>0</v>
      </c>
      <c r="AH38" s="8">
        <v>0</v>
      </c>
      <c r="AI38" s="39" t="s">
        <v>1531</v>
      </c>
      <c r="AJ38" s="7">
        <v>168</v>
      </c>
      <c r="AK38" s="62">
        <v>1323</v>
      </c>
      <c r="AL38" s="158">
        <v>92</v>
      </c>
      <c r="AM38" s="85">
        <v>6</v>
      </c>
      <c r="AN38" s="85">
        <v>2</v>
      </c>
      <c r="AO38" s="85"/>
      <c r="AP38" s="85"/>
      <c r="AQ38" s="85"/>
      <c r="AR38" s="85"/>
      <c r="AS38" s="85"/>
      <c r="AT38" s="205"/>
      <c r="AU38" s="85">
        <v>0</v>
      </c>
      <c r="AV38" s="196">
        <f t="shared" si="8"/>
        <v>100</v>
      </c>
      <c r="AW38" s="85"/>
      <c r="AX38" s="85"/>
      <c r="AY38" s="39"/>
      <c r="AZ38" s="7">
        <v>143.19999999999999</v>
      </c>
      <c r="BA38" s="62"/>
      <c r="BB38" s="7">
        <v>2</v>
      </c>
      <c r="BC38" s="7">
        <v>5.4</v>
      </c>
      <c r="BD38" s="7">
        <v>143</v>
      </c>
      <c r="BE38" s="7">
        <v>27.1</v>
      </c>
      <c r="BF38" s="39">
        <v>1.95</v>
      </c>
      <c r="BG38" s="7">
        <v>2.8</v>
      </c>
      <c r="BH38" s="62">
        <v>143</v>
      </c>
      <c r="BI38" s="7"/>
      <c r="BJ38" s="32"/>
      <c r="BK38" s="223"/>
    </row>
    <row r="39" spans="1:63" ht="23.25" customHeight="1" x14ac:dyDescent="0.2">
      <c r="A39" s="7">
        <v>38</v>
      </c>
      <c r="B39" s="221"/>
      <c r="C39" s="221"/>
      <c r="D39" s="223" t="s">
        <v>262</v>
      </c>
      <c r="E39" s="54" t="s">
        <v>250</v>
      </c>
      <c r="F39" s="16">
        <f>(11.8 - 0)/14*100</f>
        <v>84.285714285714292</v>
      </c>
      <c r="G39" s="8">
        <f>1.2/14*100</f>
        <v>8.5714285714285712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f>0/14*100</f>
        <v>0</v>
      </c>
      <c r="Q39" s="8">
        <v>0</v>
      </c>
      <c r="R39" s="8">
        <v>0</v>
      </c>
      <c r="S39" s="17">
        <v>0</v>
      </c>
      <c r="T39" s="8">
        <v>7.1428570000000002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14">
        <f t="shared" si="0"/>
        <v>99.999999857142868</v>
      </c>
      <c r="AE39" s="8">
        <f>1.97/14*100</f>
        <v>14.071428571428571</v>
      </c>
      <c r="AF39" s="8">
        <v>0</v>
      </c>
      <c r="AG39" s="8">
        <v>0</v>
      </c>
      <c r="AH39" s="8">
        <v>0</v>
      </c>
      <c r="AI39" s="39" t="s">
        <v>1531</v>
      </c>
      <c r="AJ39" s="7">
        <v>168</v>
      </c>
      <c r="AK39" s="62">
        <v>1373</v>
      </c>
      <c r="AL39" s="158"/>
      <c r="AM39" s="85"/>
      <c r="AN39" s="85"/>
      <c r="AO39" s="85"/>
      <c r="AP39" s="85"/>
      <c r="AQ39" s="85"/>
      <c r="AR39" s="85"/>
      <c r="AS39" s="85"/>
      <c r="AT39" s="205"/>
      <c r="AU39" s="85"/>
      <c r="AV39" s="196"/>
      <c r="AW39" s="85"/>
      <c r="AX39" s="85"/>
      <c r="AY39" s="39"/>
      <c r="AZ39" s="7">
        <v>345.1</v>
      </c>
      <c r="BA39" s="62"/>
      <c r="BB39" s="7">
        <v>2</v>
      </c>
      <c r="BC39" s="7">
        <v>15.1</v>
      </c>
      <c r="BD39" s="7">
        <v>345.5</v>
      </c>
      <c r="BE39" s="7">
        <v>9.3000000000000007</v>
      </c>
      <c r="BF39" s="39">
        <v>1.95</v>
      </c>
      <c r="BG39" s="7">
        <v>5.0999999999999996</v>
      </c>
      <c r="BH39" s="62">
        <v>344</v>
      </c>
      <c r="BI39" s="7"/>
      <c r="BJ39" s="32"/>
      <c r="BK39" s="223"/>
    </row>
    <row r="40" spans="1:63" ht="23.25" customHeight="1" x14ac:dyDescent="0.2">
      <c r="A40" s="62">
        <v>39</v>
      </c>
      <c r="B40" s="221"/>
      <c r="C40" s="221"/>
      <c r="D40" s="223"/>
      <c r="E40" s="54" t="s">
        <v>251</v>
      </c>
      <c r="F40" s="16">
        <f>(11.8 - 0.1)/14*100</f>
        <v>83.571428571428569</v>
      </c>
      <c r="G40" s="8">
        <f t="shared" ref="G40:G43" si="9">1.2/14*100</f>
        <v>8.5714285714285712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f>0.1/14*100</f>
        <v>0.7142857142857143</v>
      </c>
      <c r="Q40" s="8">
        <v>0</v>
      </c>
      <c r="R40" s="8">
        <v>0</v>
      </c>
      <c r="S40" s="17">
        <v>0</v>
      </c>
      <c r="T40" s="8">
        <v>7.1428570000000002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14">
        <f t="shared" si="0"/>
        <v>99.999999857142853</v>
      </c>
      <c r="AE40" s="8">
        <f>1.75/14*100</f>
        <v>12.5</v>
      </c>
      <c r="AF40" s="8">
        <v>0</v>
      </c>
      <c r="AG40" s="8">
        <v>0</v>
      </c>
      <c r="AH40" s="8">
        <v>0</v>
      </c>
      <c r="AI40" s="39" t="s">
        <v>1531</v>
      </c>
      <c r="AJ40" s="7">
        <v>168</v>
      </c>
      <c r="AK40" s="62">
        <v>1373</v>
      </c>
      <c r="AL40" s="158"/>
      <c r="AM40" s="85"/>
      <c r="AN40" s="85"/>
      <c r="AO40" s="85"/>
      <c r="AP40" s="85"/>
      <c r="AQ40" s="85"/>
      <c r="AR40" s="85"/>
      <c r="AS40" s="85"/>
      <c r="AT40" s="205"/>
      <c r="AU40" s="85"/>
      <c r="AV40" s="196"/>
      <c r="AW40" s="85"/>
      <c r="AX40" s="85"/>
      <c r="AY40" s="39"/>
      <c r="AZ40" s="7">
        <v>328.1</v>
      </c>
      <c r="BA40" s="62"/>
      <c r="BB40" s="7">
        <v>2</v>
      </c>
      <c r="BC40" s="7">
        <v>12.3</v>
      </c>
      <c r="BD40" s="7">
        <v>329.7</v>
      </c>
      <c r="BE40" s="7">
        <v>12.1</v>
      </c>
      <c r="BF40" s="39">
        <v>1.95</v>
      </c>
      <c r="BG40" s="7">
        <v>4.3</v>
      </c>
      <c r="BH40" s="62">
        <v>328.9</v>
      </c>
      <c r="BI40" s="7"/>
      <c r="BJ40" s="32"/>
      <c r="BK40" s="223"/>
    </row>
    <row r="41" spans="1:63" ht="23.25" customHeight="1" x14ac:dyDescent="0.2">
      <c r="A41" s="7">
        <v>40</v>
      </c>
      <c r="B41" s="221"/>
      <c r="C41" s="221"/>
      <c r="D41" s="223"/>
      <c r="E41" s="54" t="s">
        <v>252</v>
      </c>
      <c r="F41" s="16">
        <f>(11.8 - 0.2)/14*100</f>
        <v>82.857142857142861</v>
      </c>
      <c r="G41" s="8">
        <f t="shared" si="9"/>
        <v>8.5714285714285712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f>0.2/14*100</f>
        <v>1.4285714285714286</v>
      </c>
      <c r="Q41" s="8">
        <v>0</v>
      </c>
      <c r="R41" s="8">
        <v>0</v>
      </c>
      <c r="S41" s="17">
        <v>0</v>
      </c>
      <c r="T41" s="8">
        <v>7.1428570000000002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14">
        <f t="shared" si="0"/>
        <v>99.999999857142868</v>
      </c>
      <c r="AE41" s="8">
        <f>1.88/14*100</f>
        <v>13.428571428571429</v>
      </c>
      <c r="AF41" s="8">
        <v>0</v>
      </c>
      <c r="AG41" s="8">
        <v>0</v>
      </c>
      <c r="AH41" s="8">
        <v>0</v>
      </c>
      <c r="AI41" s="39" t="s">
        <v>1531</v>
      </c>
      <c r="AJ41" s="7">
        <v>168</v>
      </c>
      <c r="AK41" s="62">
        <v>1373</v>
      </c>
      <c r="AL41" s="158"/>
      <c r="AM41" s="85"/>
      <c r="AN41" s="85"/>
      <c r="AO41" s="85"/>
      <c r="AP41" s="85"/>
      <c r="AQ41" s="85"/>
      <c r="AR41" s="85"/>
      <c r="AS41" s="85"/>
      <c r="AT41" s="205"/>
      <c r="AU41" s="85"/>
      <c r="AV41" s="196"/>
      <c r="AW41" s="85"/>
      <c r="AX41" s="85"/>
      <c r="AY41" s="39"/>
      <c r="AZ41" s="7">
        <v>313.10000000000002</v>
      </c>
      <c r="BA41" s="62"/>
      <c r="BB41" s="7">
        <v>2</v>
      </c>
      <c r="BC41" s="7">
        <v>10.9</v>
      </c>
      <c r="BD41" s="7">
        <v>314.8</v>
      </c>
      <c r="BE41" s="7">
        <v>11.1</v>
      </c>
      <c r="BF41" s="39">
        <v>1.95</v>
      </c>
      <c r="BG41" s="7">
        <v>3.5</v>
      </c>
      <c r="BH41" s="62">
        <v>314</v>
      </c>
      <c r="BI41" s="7"/>
      <c r="BJ41" s="32"/>
      <c r="BK41" s="223"/>
    </row>
    <row r="42" spans="1:63" ht="23.25" customHeight="1" x14ac:dyDescent="0.2">
      <c r="A42" s="62">
        <v>41</v>
      </c>
      <c r="B42" s="221"/>
      <c r="C42" s="221"/>
      <c r="D42" s="223"/>
      <c r="E42" s="54" t="s">
        <v>259</v>
      </c>
      <c r="F42" s="16">
        <f>(11.8 - 0.3)/14*100</f>
        <v>82.142857142857139</v>
      </c>
      <c r="G42" s="8">
        <f t="shared" si="9"/>
        <v>8.5714285714285712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f>0.3/14*100</f>
        <v>2.1428571428571428</v>
      </c>
      <c r="Q42" s="8">
        <v>0</v>
      </c>
      <c r="R42" s="8">
        <v>0</v>
      </c>
      <c r="S42" s="17">
        <v>0</v>
      </c>
      <c r="T42" s="8">
        <v>7.1428570000000002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14">
        <f t="shared" si="0"/>
        <v>99.999999857142853</v>
      </c>
      <c r="AE42" s="8">
        <f>1.8/14*100</f>
        <v>12.857142857142859</v>
      </c>
      <c r="AF42" s="8">
        <v>0</v>
      </c>
      <c r="AG42" s="8">
        <v>0</v>
      </c>
      <c r="AH42" s="8">
        <v>0</v>
      </c>
      <c r="AI42" s="39" t="s">
        <v>1531</v>
      </c>
      <c r="AJ42" s="7">
        <v>168</v>
      </c>
      <c r="AK42" s="62">
        <v>1373</v>
      </c>
      <c r="AL42" s="158"/>
      <c r="AM42" s="85"/>
      <c r="AN42" s="85"/>
      <c r="AO42" s="85"/>
      <c r="AP42" s="85"/>
      <c r="AQ42" s="85"/>
      <c r="AR42" s="85"/>
      <c r="AS42" s="85"/>
      <c r="AT42" s="205"/>
      <c r="AU42" s="85"/>
      <c r="AV42" s="196"/>
      <c r="AW42" s="85"/>
      <c r="AX42" s="85"/>
      <c r="AY42" s="39"/>
      <c r="AZ42" s="7">
        <v>295.10000000000002</v>
      </c>
      <c r="BA42" s="62"/>
      <c r="BB42" s="7">
        <v>2</v>
      </c>
      <c r="BC42" s="7">
        <v>8.3000000000000007</v>
      </c>
      <c r="BD42" s="7">
        <v>293.39999999999998</v>
      </c>
      <c r="BE42" s="7">
        <v>13.3</v>
      </c>
      <c r="BF42" s="39">
        <v>1.95</v>
      </c>
      <c r="BG42" s="7">
        <v>3.2</v>
      </c>
      <c r="BH42" s="62">
        <v>298</v>
      </c>
      <c r="BI42" s="7"/>
      <c r="BJ42" s="32"/>
      <c r="BK42" s="223"/>
    </row>
    <row r="43" spans="1:63" ht="23.25" customHeight="1" x14ac:dyDescent="0.2">
      <c r="A43" s="7">
        <v>42</v>
      </c>
      <c r="B43" s="221"/>
      <c r="C43" s="221"/>
      <c r="D43" s="223"/>
      <c r="E43" s="54" t="s">
        <v>253</v>
      </c>
      <c r="F43" s="16">
        <f>(11.8 - 0.4)/14*100</f>
        <v>81.428571428571431</v>
      </c>
      <c r="G43" s="8">
        <f t="shared" si="9"/>
        <v>8.5714285714285712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f>0.4/14*100</f>
        <v>2.8571428571428572</v>
      </c>
      <c r="Q43" s="8">
        <v>0</v>
      </c>
      <c r="R43" s="8">
        <v>0</v>
      </c>
      <c r="S43" s="17">
        <v>0</v>
      </c>
      <c r="T43" s="8">
        <v>7.1428570000000002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14">
        <f t="shared" si="0"/>
        <v>99.999999857142868</v>
      </c>
      <c r="AE43" s="8">
        <f>1.68/14*100</f>
        <v>12</v>
      </c>
      <c r="AF43" s="8">
        <v>0</v>
      </c>
      <c r="AG43" s="8">
        <v>0</v>
      </c>
      <c r="AH43" s="8">
        <v>0</v>
      </c>
      <c r="AI43" s="39" t="s">
        <v>1531</v>
      </c>
      <c r="AJ43" s="7">
        <v>168</v>
      </c>
      <c r="AK43" s="62">
        <v>1373</v>
      </c>
      <c r="AL43" s="158"/>
      <c r="AM43" s="85"/>
      <c r="AN43" s="85"/>
      <c r="AO43" s="85"/>
      <c r="AP43" s="85"/>
      <c r="AQ43" s="85"/>
      <c r="AR43" s="85"/>
      <c r="AS43" s="85"/>
      <c r="AT43" s="205"/>
      <c r="AU43" s="85"/>
      <c r="AV43" s="196"/>
      <c r="AW43" s="85"/>
      <c r="AX43" s="85"/>
      <c r="AY43" s="39"/>
      <c r="AZ43" s="7">
        <v>280.2</v>
      </c>
      <c r="BA43" s="62"/>
      <c r="BB43" s="7">
        <v>2</v>
      </c>
      <c r="BC43" s="7">
        <v>7.7</v>
      </c>
      <c r="BD43" s="7">
        <v>282.39999999999998</v>
      </c>
      <c r="BE43" s="7">
        <v>14.6</v>
      </c>
      <c r="BF43" s="39">
        <v>1.95</v>
      </c>
      <c r="BG43" s="7">
        <v>2.7</v>
      </c>
      <c r="BH43" s="62">
        <v>283.89999999999998</v>
      </c>
      <c r="BI43" s="7"/>
      <c r="BJ43" s="32"/>
      <c r="BK43" s="223"/>
    </row>
    <row r="44" spans="1:63" ht="23.25" customHeight="1" x14ac:dyDescent="0.2">
      <c r="A44" s="62">
        <v>43</v>
      </c>
      <c r="B44" s="221"/>
      <c r="C44" s="221"/>
      <c r="D44" s="223" t="s">
        <v>263</v>
      </c>
      <c r="E44" s="54" t="s">
        <v>254</v>
      </c>
      <c r="F44" s="16">
        <f>(11.6 - 0)/14*100</f>
        <v>82.857142857142847</v>
      </c>
      <c r="G44" s="8">
        <f>1.4/14*100</f>
        <v>10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f>0/14*100</f>
        <v>0</v>
      </c>
      <c r="Q44" s="8">
        <v>0</v>
      </c>
      <c r="R44" s="8">
        <v>0</v>
      </c>
      <c r="S44" s="17">
        <v>0</v>
      </c>
      <c r="T44" s="8">
        <v>7.1428570000000002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14">
        <f t="shared" si="0"/>
        <v>99.999999857142853</v>
      </c>
      <c r="AE44" s="8">
        <f>1.9/14*100</f>
        <v>13.571428571428571</v>
      </c>
      <c r="AF44" s="8">
        <v>0</v>
      </c>
      <c r="AG44" s="8">
        <v>0</v>
      </c>
      <c r="AH44" s="8">
        <v>0</v>
      </c>
      <c r="AI44" s="39" t="s">
        <v>1531</v>
      </c>
      <c r="AJ44" s="7">
        <v>168</v>
      </c>
      <c r="AK44" s="62">
        <v>1323</v>
      </c>
      <c r="AL44" s="158"/>
      <c r="AM44" s="85"/>
      <c r="AN44" s="85"/>
      <c r="AO44" s="85"/>
      <c r="AP44" s="85"/>
      <c r="AQ44" s="85"/>
      <c r="AR44" s="85"/>
      <c r="AS44" s="85"/>
      <c r="AT44" s="205"/>
      <c r="AU44" s="85"/>
      <c r="AV44" s="196"/>
      <c r="AW44" s="85"/>
      <c r="AX44" s="85"/>
      <c r="AY44" s="39"/>
      <c r="AZ44" s="7">
        <v>337</v>
      </c>
      <c r="BA44" s="62"/>
      <c r="BB44" s="7">
        <v>2</v>
      </c>
      <c r="BC44" s="7">
        <v>15.6</v>
      </c>
      <c r="BD44" s="7">
        <v>338.7</v>
      </c>
      <c r="BE44" s="7">
        <v>10.1</v>
      </c>
      <c r="BF44" s="39">
        <v>1.95</v>
      </c>
      <c r="BG44" s="7">
        <v>4.8</v>
      </c>
      <c r="BH44" s="62">
        <v>337.9</v>
      </c>
      <c r="BI44" s="7"/>
      <c r="BJ44" s="32"/>
      <c r="BK44" s="223"/>
    </row>
    <row r="45" spans="1:63" ht="23.25" customHeight="1" x14ac:dyDescent="0.2">
      <c r="A45" s="7">
        <v>44</v>
      </c>
      <c r="B45" s="221"/>
      <c r="C45" s="221"/>
      <c r="D45" s="223"/>
      <c r="E45" s="54" t="s">
        <v>255</v>
      </c>
      <c r="F45" s="16">
        <f>(11.6 - 0.1)/14*100</f>
        <v>82.142857142857139</v>
      </c>
      <c r="G45" s="8">
        <f t="shared" ref="G45:G46" si="10">1.4/14*100</f>
        <v>10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f>0.1/14*100</f>
        <v>0.7142857142857143</v>
      </c>
      <c r="Q45" s="8">
        <v>0</v>
      </c>
      <c r="R45" s="8">
        <v>0</v>
      </c>
      <c r="S45" s="17">
        <v>0</v>
      </c>
      <c r="T45" s="8">
        <v>7.1428570000000002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14">
        <f t="shared" si="0"/>
        <v>99.999999857142853</v>
      </c>
      <c r="AE45" s="8">
        <f>1.81/14*100</f>
        <v>12.928571428571429</v>
      </c>
      <c r="AF45" s="8">
        <v>0</v>
      </c>
      <c r="AG45" s="8">
        <v>0</v>
      </c>
      <c r="AH45" s="8">
        <v>0</v>
      </c>
      <c r="AI45" s="39" t="s">
        <v>1531</v>
      </c>
      <c r="AJ45" s="7">
        <v>168</v>
      </c>
      <c r="AK45" s="62">
        <v>1323</v>
      </c>
      <c r="AL45" s="158"/>
      <c r="AM45" s="85"/>
      <c r="AN45" s="85"/>
      <c r="AO45" s="85"/>
      <c r="AP45" s="85"/>
      <c r="AQ45" s="85"/>
      <c r="AR45" s="85"/>
      <c r="AS45" s="85"/>
      <c r="AT45" s="205"/>
      <c r="AU45" s="85"/>
      <c r="AV45" s="196"/>
      <c r="AW45" s="85"/>
      <c r="AX45" s="85"/>
      <c r="AY45" s="39"/>
      <c r="AZ45" s="7">
        <v>324.10000000000002</v>
      </c>
      <c r="BA45" s="62"/>
      <c r="BB45" s="7">
        <v>2</v>
      </c>
      <c r="BC45" s="7">
        <v>11.9</v>
      </c>
      <c r="BD45" s="7">
        <v>325.7</v>
      </c>
      <c r="BE45" s="7">
        <v>11.4</v>
      </c>
      <c r="BF45" s="39">
        <v>1.95</v>
      </c>
      <c r="BG45" s="7">
        <v>4.0999999999999996</v>
      </c>
      <c r="BH45" s="62">
        <v>324.10000000000002</v>
      </c>
      <c r="BI45" s="7"/>
      <c r="BJ45" s="32"/>
      <c r="BK45" s="223"/>
    </row>
    <row r="46" spans="1:63" ht="23.25" customHeight="1" x14ac:dyDescent="0.2">
      <c r="A46" s="62">
        <v>45</v>
      </c>
      <c r="B46" s="221"/>
      <c r="C46" s="221"/>
      <c r="D46" s="223"/>
      <c r="E46" s="54" t="s">
        <v>256</v>
      </c>
      <c r="F46" s="16">
        <f>(11.6 - 0.2)/14*100</f>
        <v>81.428571428571431</v>
      </c>
      <c r="G46" s="8">
        <f t="shared" si="10"/>
        <v>10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f>0.2/14*100</f>
        <v>1.4285714285714286</v>
      </c>
      <c r="Q46" s="8">
        <v>0</v>
      </c>
      <c r="R46" s="8">
        <v>0</v>
      </c>
      <c r="S46" s="17">
        <v>0</v>
      </c>
      <c r="T46" s="8">
        <v>7.1428570000000002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14">
        <f t="shared" si="0"/>
        <v>99.999999857142868</v>
      </c>
      <c r="AE46" s="8">
        <f>1.87/14*100</f>
        <v>13.357142857142859</v>
      </c>
      <c r="AF46" s="8">
        <v>0</v>
      </c>
      <c r="AG46" s="8">
        <v>0</v>
      </c>
      <c r="AH46" s="8">
        <v>0</v>
      </c>
      <c r="AI46" s="39" t="s">
        <v>1531</v>
      </c>
      <c r="AJ46" s="7">
        <v>168</v>
      </c>
      <c r="AK46" s="62">
        <v>1323</v>
      </c>
      <c r="AL46" s="158"/>
      <c r="AM46" s="85"/>
      <c r="AN46" s="85"/>
      <c r="AO46" s="85"/>
      <c r="AP46" s="85"/>
      <c r="AQ46" s="85"/>
      <c r="AR46" s="85"/>
      <c r="AS46" s="85"/>
      <c r="AT46" s="205"/>
      <c r="AU46" s="85"/>
      <c r="AV46" s="196"/>
      <c r="AW46" s="85"/>
      <c r="AX46" s="85"/>
      <c r="AY46" s="39"/>
      <c r="AZ46" s="7">
        <v>307.10000000000002</v>
      </c>
      <c r="BA46" s="62"/>
      <c r="BB46" s="7">
        <v>2</v>
      </c>
      <c r="BC46" s="7">
        <v>10.1</v>
      </c>
      <c r="BD46" s="7">
        <v>308.60000000000002</v>
      </c>
      <c r="BE46" s="7">
        <v>12.7</v>
      </c>
      <c r="BF46" s="39">
        <v>1.95</v>
      </c>
      <c r="BG46" s="7">
        <v>3.5</v>
      </c>
      <c r="BH46" s="62">
        <v>307.5</v>
      </c>
      <c r="BI46" s="7"/>
      <c r="BJ46" s="32"/>
      <c r="BK46" s="223"/>
    </row>
    <row r="47" spans="1:63" ht="23.25" customHeight="1" x14ac:dyDescent="0.2">
      <c r="A47" s="7">
        <v>46</v>
      </c>
      <c r="B47" s="221"/>
      <c r="C47" s="221"/>
      <c r="D47" s="223"/>
      <c r="E47" s="54" t="s">
        <v>257</v>
      </c>
      <c r="F47" s="16">
        <f>(11.6 - 0.3)/14*100</f>
        <v>80.714285714285708</v>
      </c>
      <c r="G47" s="8">
        <f>1.4/14*100</f>
        <v>10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f>0.3/14*100</f>
        <v>2.1428571428571428</v>
      </c>
      <c r="Q47" s="8">
        <v>0</v>
      </c>
      <c r="R47" s="8">
        <v>0</v>
      </c>
      <c r="S47" s="17">
        <v>0</v>
      </c>
      <c r="T47" s="8">
        <v>7.1428570000000002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14">
        <f t="shared" si="0"/>
        <v>99.999999857142853</v>
      </c>
      <c r="AE47" s="8">
        <f>1.77/14*100</f>
        <v>12.642857142857142</v>
      </c>
      <c r="AF47" s="8">
        <v>0</v>
      </c>
      <c r="AG47" s="8">
        <v>0</v>
      </c>
      <c r="AH47" s="8">
        <v>0</v>
      </c>
      <c r="AI47" s="39" t="s">
        <v>1531</v>
      </c>
      <c r="AJ47" s="7">
        <v>168</v>
      </c>
      <c r="AK47" s="62">
        <v>1323</v>
      </c>
      <c r="AL47" s="158"/>
      <c r="AM47" s="85"/>
      <c r="AN47" s="85"/>
      <c r="AO47" s="85"/>
      <c r="AP47" s="85"/>
      <c r="AQ47" s="85"/>
      <c r="AR47" s="85"/>
      <c r="AS47" s="85"/>
      <c r="AT47" s="205"/>
      <c r="AU47" s="85"/>
      <c r="AV47" s="196"/>
      <c r="AW47" s="85"/>
      <c r="AX47" s="85"/>
      <c r="AY47" s="39"/>
      <c r="AZ47" s="7">
        <v>293.3</v>
      </c>
      <c r="BA47" s="62"/>
      <c r="BB47" s="7">
        <v>2</v>
      </c>
      <c r="BC47" s="7">
        <v>8.1999999999999993</v>
      </c>
      <c r="BD47" s="7">
        <v>294.60000000000002</v>
      </c>
      <c r="BE47" s="7">
        <v>15.4</v>
      </c>
      <c r="BF47" s="39">
        <v>1.95</v>
      </c>
      <c r="BG47" s="7">
        <v>3</v>
      </c>
      <c r="BH47" s="62">
        <v>293.39999999999998</v>
      </c>
      <c r="BI47" s="7"/>
      <c r="BJ47" s="32"/>
      <c r="BK47" s="223"/>
    </row>
    <row r="48" spans="1:63" s="6" customFormat="1" ht="23.25" customHeight="1" thickBot="1" x14ac:dyDescent="0.25">
      <c r="A48" s="62">
        <v>47</v>
      </c>
      <c r="B48" s="222"/>
      <c r="C48" s="222"/>
      <c r="D48" s="224"/>
      <c r="E48" s="13" t="s">
        <v>258</v>
      </c>
      <c r="F48" s="80">
        <f>(11.6 - 0.4)/14*100</f>
        <v>80</v>
      </c>
      <c r="G48" s="81">
        <f>1.4/14*100</f>
        <v>10</v>
      </c>
      <c r="H48" s="81">
        <v>0</v>
      </c>
      <c r="I48" s="81">
        <v>0</v>
      </c>
      <c r="J48" s="81">
        <v>0</v>
      </c>
      <c r="K48" s="81">
        <v>0</v>
      </c>
      <c r="L48" s="81">
        <v>0</v>
      </c>
      <c r="M48" s="81">
        <v>0</v>
      </c>
      <c r="N48" s="81">
        <v>0</v>
      </c>
      <c r="O48" s="81">
        <v>0</v>
      </c>
      <c r="P48" s="81">
        <f>0.4/14*100</f>
        <v>2.8571428571428572</v>
      </c>
      <c r="Q48" s="81">
        <v>0</v>
      </c>
      <c r="R48" s="81">
        <v>0</v>
      </c>
      <c r="S48" s="82">
        <v>0</v>
      </c>
      <c r="T48" s="81">
        <v>7.1428570000000002</v>
      </c>
      <c r="U48" s="81">
        <v>0</v>
      </c>
      <c r="V48" s="81">
        <v>0</v>
      </c>
      <c r="W48" s="81">
        <v>0</v>
      </c>
      <c r="X48" s="81">
        <v>0</v>
      </c>
      <c r="Y48" s="81">
        <v>0</v>
      </c>
      <c r="Z48" s="81">
        <v>0</v>
      </c>
      <c r="AA48" s="81">
        <v>0</v>
      </c>
      <c r="AB48" s="81">
        <v>0</v>
      </c>
      <c r="AC48" s="81">
        <v>0</v>
      </c>
      <c r="AD48" s="83">
        <f t="shared" si="0"/>
        <v>99.999999857142868</v>
      </c>
      <c r="AE48" s="81">
        <f>1.78/14*100</f>
        <v>12.714285714285714</v>
      </c>
      <c r="AF48" s="81">
        <v>0</v>
      </c>
      <c r="AG48" s="81">
        <v>0</v>
      </c>
      <c r="AH48" s="81">
        <v>0</v>
      </c>
      <c r="AI48" s="79" t="s">
        <v>1531</v>
      </c>
      <c r="AJ48" s="65">
        <v>168</v>
      </c>
      <c r="AK48" s="78">
        <v>1323</v>
      </c>
      <c r="AL48" s="200"/>
      <c r="AM48" s="190"/>
      <c r="AN48" s="190"/>
      <c r="AO48" s="190"/>
      <c r="AP48" s="190"/>
      <c r="AQ48" s="190"/>
      <c r="AR48" s="190"/>
      <c r="AS48" s="190"/>
      <c r="AT48" s="201"/>
      <c r="AU48" s="190"/>
      <c r="AV48" s="202"/>
      <c r="AW48" s="190"/>
      <c r="AX48" s="190"/>
      <c r="AY48" s="79"/>
      <c r="AZ48" s="65">
        <v>278.10000000000002</v>
      </c>
      <c r="BA48" s="78"/>
      <c r="BB48" s="65">
        <v>2</v>
      </c>
      <c r="BC48" s="65">
        <v>7.3</v>
      </c>
      <c r="BD48" s="65">
        <v>279.8</v>
      </c>
      <c r="BE48" s="65">
        <v>17.5</v>
      </c>
      <c r="BF48" s="79">
        <v>1.95</v>
      </c>
      <c r="BG48" s="65">
        <v>2.8</v>
      </c>
      <c r="BH48" s="78">
        <v>277.89999999999998</v>
      </c>
      <c r="BI48" s="65"/>
      <c r="BJ48" s="68"/>
      <c r="BK48" s="224"/>
    </row>
    <row r="49" spans="1:63" ht="23.25" customHeight="1" x14ac:dyDescent="0.2">
      <c r="A49" s="7">
        <v>48</v>
      </c>
      <c r="B49" s="221">
        <v>29</v>
      </c>
      <c r="C49" s="252" t="s">
        <v>1539</v>
      </c>
      <c r="D49" s="253" t="s">
        <v>1312</v>
      </c>
      <c r="E49" s="54"/>
      <c r="F49" s="16">
        <v>82.642859999999999</v>
      </c>
      <c r="G49" s="8">
        <v>10.21429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17">
        <v>0</v>
      </c>
      <c r="T49" s="8">
        <v>7.1428570000000002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14">
        <f t="shared" si="0"/>
        <v>100.00000700000001</v>
      </c>
      <c r="AE49" s="8">
        <v>0</v>
      </c>
      <c r="AF49" s="8">
        <v>0</v>
      </c>
      <c r="AG49" s="8">
        <v>0</v>
      </c>
      <c r="AH49" s="8">
        <v>0</v>
      </c>
      <c r="AI49" s="39" t="s">
        <v>1529</v>
      </c>
      <c r="AJ49" s="64">
        <v>1</v>
      </c>
      <c r="AK49" s="93">
        <v>1273</v>
      </c>
      <c r="AL49" s="158">
        <v>90.2</v>
      </c>
      <c r="AM49" s="85">
        <v>7.9</v>
      </c>
      <c r="AN49" s="85">
        <v>1.9</v>
      </c>
      <c r="AO49" s="85"/>
      <c r="AP49" s="85"/>
      <c r="AQ49" s="85"/>
      <c r="AR49" s="85"/>
      <c r="AS49" s="85"/>
      <c r="AT49" s="205"/>
      <c r="AU49" s="85">
        <v>0</v>
      </c>
      <c r="AV49" s="196">
        <f>SUM(AL49:AT49)</f>
        <v>100.00000000000001</v>
      </c>
      <c r="AW49" s="85">
        <v>11.477</v>
      </c>
      <c r="AX49" s="85"/>
      <c r="AY49" s="39">
        <v>0.01</v>
      </c>
      <c r="AZ49" s="7">
        <v>198</v>
      </c>
      <c r="BA49" s="62">
        <v>3</v>
      </c>
      <c r="BB49" s="7" t="s">
        <v>524</v>
      </c>
      <c r="BC49" s="7" t="s">
        <v>1487</v>
      </c>
      <c r="BD49" s="85" t="s">
        <v>548</v>
      </c>
      <c r="BE49" s="85" t="s">
        <v>549</v>
      </c>
      <c r="BF49" s="39"/>
      <c r="BG49" s="7"/>
      <c r="BH49" s="62"/>
      <c r="BI49" s="7"/>
      <c r="BJ49" s="32"/>
      <c r="BK49" s="54" t="s">
        <v>1741</v>
      </c>
    </row>
    <row r="50" spans="1:63" ht="23.25" customHeight="1" x14ac:dyDescent="0.2">
      <c r="A50" s="62">
        <v>49</v>
      </c>
      <c r="B50" s="221"/>
      <c r="C50" s="239"/>
      <c r="D50" s="254"/>
      <c r="E50" s="54"/>
      <c r="F50" s="16">
        <v>82.642859999999999</v>
      </c>
      <c r="G50" s="8">
        <v>10.21429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17">
        <v>0</v>
      </c>
      <c r="T50" s="8">
        <v>7.1428570000000002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14">
        <f t="shared" si="0"/>
        <v>100.00000700000001</v>
      </c>
      <c r="AE50" s="8">
        <v>0</v>
      </c>
      <c r="AF50" s="8">
        <v>0</v>
      </c>
      <c r="AG50" s="8">
        <v>0</v>
      </c>
      <c r="AH50" s="8">
        <v>0</v>
      </c>
      <c r="AI50" s="39" t="s">
        <v>1529</v>
      </c>
      <c r="AJ50" s="64">
        <v>1</v>
      </c>
      <c r="AK50" s="93">
        <v>1273</v>
      </c>
      <c r="AL50" s="158">
        <v>93</v>
      </c>
      <c r="AM50" s="85">
        <v>5.7</v>
      </c>
      <c r="AN50" s="85">
        <v>1.3</v>
      </c>
      <c r="AO50" s="85"/>
      <c r="AP50" s="85"/>
      <c r="AQ50" s="85"/>
      <c r="AR50" s="85"/>
      <c r="AS50" s="85"/>
      <c r="AT50" s="205"/>
      <c r="AU50" s="85">
        <v>0</v>
      </c>
      <c r="AV50" s="196">
        <f>SUM(AL50:AT50)</f>
        <v>100</v>
      </c>
      <c r="AW50" s="85">
        <v>11.481</v>
      </c>
      <c r="AX50" s="85"/>
      <c r="AY50" s="39">
        <v>0.01</v>
      </c>
      <c r="AZ50" s="7">
        <v>210</v>
      </c>
      <c r="BA50" s="62">
        <v>0.4</v>
      </c>
      <c r="BB50" s="7" t="s">
        <v>523</v>
      </c>
      <c r="BC50" s="7" t="s">
        <v>1488</v>
      </c>
      <c r="BD50" s="85" t="s">
        <v>550</v>
      </c>
      <c r="BE50" s="85" t="s">
        <v>1443</v>
      </c>
      <c r="BF50" s="39"/>
      <c r="BG50" s="7"/>
      <c r="BH50" s="62"/>
      <c r="BI50" s="7"/>
      <c r="BJ50" s="32"/>
      <c r="BK50" s="54" t="s">
        <v>1742</v>
      </c>
    </row>
    <row r="51" spans="1:63" ht="23.25" customHeight="1" x14ac:dyDescent="0.2">
      <c r="A51" s="7">
        <v>50</v>
      </c>
      <c r="B51" s="221"/>
      <c r="C51" s="239"/>
      <c r="D51" s="255"/>
      <c r="E51" s="54"/>
      <c r="F51" s="16">
        <v>82.642859999999999</v>
      </c>
      <c r="G51" s="8">
        <v>10.21429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17">
        <v>0</v>
      </c>
      <c r="T51" s="8">
        <v>7.1428570000000002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14">
        <f t="shared" si="0"/>
        <v>100.00000700000001</v>
      </c>
      <c r="AE51" s="8">
        <v>0</v>
      </c>
      <c r="AF51" s="8">
        <v>0</v>
      </c>
      <c r="AG51" s="8">
        <v>0</v>
      </c>
      <c r="AH51" s="8">
        <v>0</v>
      </c>
      <c r="AI51" s="39" t="s">
        <v>1531</v>
      </c>
      <c r="AJ51" s="7">
        <v>240</v>
      </c>
      <c r="AK51" s="62">
        <v>1273</v>
      </c>
      <c r="AL51" s="158">
        <v>82.2</v>
      </c>
      <c r="AM51" s="85">
        <v>12.9</v>
      </c>
      <c r="AN51" s="85">
        <v>4.9000000000000004</v>
      </c>
      <c r="AO51" s="85"/>
      <c r="AP51" s="85"/>
      <c r="AQ51" s="85"/>
      <c r="AR51" s="85"/>
      <c r="AS51" s="85"/>
      <c r="AT51" s="205"/>
      <c r="AU51" s="85">
        <v>0</v>
      </c>
      <c r="AV51" s="196">
        <f>SUM(AL51:AT51)</f>
        <v>100.00000000000001</v>
      </c>
      <c r="AW51" s="85">
        <v>11.475</v>
      </c>
      <c r="AX51" s="85"/>
      <c r="AY51" s="39">
        <v>0.01</v>
      </c>
      <c r="AZ51" s="7">
        <v>192</v>
      </c>
      <c r="BA51" s="62">
        <v>6</v>
      </c>
      <c r="BB51" s="7" t="s">
        <v>523</v>
      </c>
      <c r="BC51" s="7" t="s">
        <v>1489</v>
      </c>
      <c r="BD51" s="7" t="s">
        <v>551</v>
      </c>
      <c r="BE51" s="7" t="s">
        <v>552</v>
      </c>
      <c r="BF51" s="39"/>
      <c r="BG51" s="7"/>
      <c r="BH51" s="62"/>
      <c r="BI51" s="7"/>
      <c r="BJ51" s="32"/>
      <c r="BK51" s="59"/>
    </row>
    <row r="52" spans="1:63" ht="23.25" customHeight="1" x14ac:dyDescent="0.2">
      <c r="A52" s="62">
        <v>51</v>
      </c>
      <c r="B52" s="221"/>
      <c r="C52" s="239"/>
      <c r="D52" s="223" t="s">
        <v>264</v>
      </c>
      <c r="E52" s="54" t="s">
        <v>272</v>
      </c>
      <c r="F52" s="16">
        <v>85.714290000000005</v>
      </c>
      <c r="G52" s="8">
        <v>7.1428570000000002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17">
        <v>0</v>
      </c>
      <c r="T52" s="8">
        <v>7.1428570000000002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14">
        <f t="shared" si="0"/>
        <v>100.00000400000002</v>
      </c>
      <c r="AE52" s="8">
        <v>0</v>
      </c>
      <c r="AF52" s="8">
        <v>0</v>
      </c>
      <c r="AG52" s="8">
        <v>0</v>
      </c>
      <c r="AH52" s="8">
        <v>0</v>
      </c>
      <c r="AI52" s="39" t="s">
        <v>1529</v>
      </c>
      <c r="AJ52" s="7">
        <v>1</v>
      </c>
      <c r="AK52" s="62">
        <v>1273</v>
      </c>
      <c r="AL52" s="158"/>
      <c r="AM52" s="85"/>
      <c r="AN52" s="85"/>
      <c r="AO52" s="85"/>
      <c r="AP52" s="85"/>
      <c r="AQ52" s="85"/>
      <c r="AR52" s="85"/>
      <c r="AS52" s="85"/>
      <c r="AT52" s="205"/>
      <c r="AU52" s="85"/>
      <c r="AV52" s="196"/>
      <c r="AW52" s="85"/>
      <c r="AX52" s="85"/>
      <c r="AY52" s="39">
        <v>0.01</v>
      </c>
      <c r="AZ52" s="7">
        <v>185</v>
      </c>
      <c r="BA52" s="62"/>
      <c r="BB52" s="7" t="s">
        <v>523</v>
      </c>
      <c r="BC52" s="7" t="s">
        <v>1490</v>
      </c>
      <c r="BD52" s="7" t="s">
        <v>553</v>
      </c>
      <c r="BE52" s="7" t="s">
        <v>554</v>
      </c>
      <c r="BF52" s="39"/>
      <c r="BG52" s="7"/>
      <c r="BH52" s="62"/>
      <c r="BI52" s="7"/>
      <c r="BJ52" s="32"/>
      <c r="BK52" s="59"/>
    </row>
    <row r="53" spans="1:63" ht="23.25" customHeight="1" x14ac:dyDescent="0.2">
      <c r="A53" s="7">
        <v>52</v>
      </c>
      <c r="B53" s="221"/>
      <c r="C53" s="239"/>
      <c r="D53" s="223"/>
      <c r="E53" s="54" t="s">
        <v>271</v>
      </c>
      <c r="F53" s="16">
        <v>84.285709999999995</v>
      </c>
      <c r="G53" s="8">
        <v>8.5714290000000002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17">
        <v>0</v>
      </c>
      <c r="T53" s="8">
        <v>7.1428570000000002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14">
        <f t="shared" si="0"/>
        <v>99.999995999999996</v>
      </c>
      <c r="AE53" s="8">
        <v>0</v>
      </c>
      <c r="AF53" s="8">
        <v>0</v>
      </c>
      <c r="AG53" s="8">
        <v>0</v>
      </c>
      <c r="AH53" s="8">
        <v>0</v>
      </c>
      <c r="AI53" s="39" t="s">
        <v>1529</v>
      </c>
      <c r="AJ53" s="7">
        <v>1</v>
      </c>
      <c r="AK53" s="62">
        <v>1273</v>
      </c>
      <c r="AL53" s="158">
        <v>95.4</v>
      </c>
      <c r="AM53" s="85">
        <v>4.5999999999999996</v>
      </c>
      <c r="AN53" s="85"/>
      <c r="AO53" s="85"/>
      <c r="AP53" s="85"/>
      <c r="AQ53" s="85"/>
      <c r="AR53" s="85"/>
      <c r="AS53" s="85"/>
      <c r="AT53" s="205"/>
      <c r="AU53" s="85">
        <v>0</v>
      </c>
      <c r="AV53" s="196">
        <f>SUM(AL53:AT53)</f>
        <v>100</v>
      </c>
      <c r="AW53" s="85">
        <v>11.481999999999999</v>
      </c>
      <c r="AX53" s="85"/>
      <c r="AY53" s="39">
        <v>0.01</v>
      </c>
      <c r="AZ53" s="7">
        <v>194.8</v>
      </c>
      <c r="BA53" s="62"/>
      <c r="BB53" s="7"/>
      <c r="BC53" s="7"/>
      <c r="BD53" s="7"/>
      <c r="BE53" s="7"/>
      <c r="BF53" s="39"/>
      <c r="BG53" s="7"/>
      <c r="BH53" s="62"/>
      <c r="BI53" s="7"/>
      <c r="BJ53" s="32"/>
      <c r="BK53" s="59"/>
    </row>
    <row r="54" spans="1:63" ht="23.25" customHeight="1" x14ac:dyDescent="0.2">
      <c r="A54" s="62">
        <v>53</v>
      </c>
      <c r="B54" s="221"/>
      <c r="C54" s="239"/>
      <c r="D54" s="223"/>
      <c r="E54" s="54" t="s">
        <v>270</v>
      </c>
      <c r="F54" s="16">
        <v>82.857142859999996</v>
      </c>
      <c r="G54" s="8">
        <v>10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17">
        <v>0</v>
      </c>
      <c r="T54" s="8">
        <v>7.1428571429999996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14">
        <f t="shared" si="0"/>
        <v>100.000000003</v>
      </c>
      <c r="AE54" s="8">
        <v>0</v>
      </c>
      <c r="AF54" s="8">
        <v>0</v>
      </c>
      <c r="AG54" s="8">
        <v>0</v>
      </c>
      <c r="AH54" s="8">
        <v>0</v>
      </c>
      <c r="AI54" s="39" t="s">
        <v>1529</v>
      </c>
      <c r="AJ54" s="7">
        <v>1</v>
      </c>
      <c r="AK54" s="62">
        <v>1273</v>
      </c>
      <c r="AL54" s="158"/>
      <c r="AM54" s="85"/>
      <c r="AN54" s="85"/>
      <c r="AO54" s="85"/>
      <c r="AP54" s="85"/>
      <c r="AQ54" s="85"/>
      <c r="AR54" s="85"/>
      <c r="AS54" s="85"/>
      <c r="AT54" s="205"/>
      <c r="AU54" s="85"/>
      <c r="AV54" s="196"/>
      <c r="AW54" s="85"/>
      <c r="AX54" s="85"/>
      <c r="AY54" s="39">
        <v>0.01</v>
      </c>
      <c r="AZ54" s="7">
        <v>210</v>
      </c>
      <c r="BA54" s="62"/>
      <c r="BB54" s="7" t="s">
        <v>523</v>
      </c>
      <c r="BC54" s="7" t="s">
        <v>1491</v>
      </c>
      <c r="BD54" s="7" t="s">
        <v>555</v>
      </c>
      <c r="BE54" s="7" t="s">
        <v>556</v>
      </c>
      <c r="BF54" s="39"/>
      <c r="BG54" s="7"/>
      <c r="BH54" s="62"/>
      <c r="BI54" s="7"/>
      <c r="BJ54" s="32"/>
      <c r="BK54" s="59"/>
    </row>
    <row r="55" spans="1:63" ht="23.25" customHeight="1" x14ac:dyDescent="0.2">
      <c r="A55" s="7">
        <v>54</v>
      </c>
      <c r="B55" s="221"/>
      <c r="C55" s="239"/>
      <c r="D55" s="223"/>
      <c r="E55" s="54" t="s">
        <v>269</v>
      </c>
      <c r="F55" s="16">
        <v>81.428569999999993</v>
      </c>
      <c r="G55" s="8">
        <v>11.428570000000001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17">
        <v>0</v>
      </c>
      <c r="T55" s="8">
        <v>7.1428570000000002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14">
        <f t="shared" si="0"/>
        <v>99.999996999999993</v>
      </c>
      <c r="AE55" s="8">
        <v>0</v>
      </c>
      <c r="AF55" s="8">
        <v>0</v>
      </c>
      <c r="AG55" s="8">
        <v>0</v>
      </c>
      <c r="AH55" s="8">
        <v>0</v>
      </c>
      <c r="AI55" s="39" t="s">
        <v>1529</v>
      </c>
      <c r="AJ55" s="7">
        <v>1</v>
      </c>
      <c r="AK55" s="62">
        <v>1273</v>
      </c>
      <c r="AL55" s="158"/>
      <c r="AM55" s="85"/>
      <c r="AN55" s="85"/>
      <c r="AO55" s="85"/>
      <c r="AP55" s="85"/>
      <c r="AQ55" s="85"/>
      <c r="AR55" s="85"/>
      <c r="AS55" s="85"/>
      <c r="AT55" s="205"/>
      <c r="AU55" s="85"/>
      <c r="AV55" s="196"/>
      <c r="AW55" s="85"/>
      <c r="AX55" s="85"/>
      <c r="AY55" s="39">
        <v>0.01</v>
      </c>
      <c r="AZ55" s="7">
        <v>220</v>
      </c>
      <c r="BA55" s="62"/>
      <c r="BB55" s="7"/>
      <c r="BC55" s="7"/>
      <c r="BD55" s="7"/>
      <c r="BE55" s="7"/>
      <c r="BF55" s="39"/>
      <c r="BG55" s="7"/>
      <c r="BH55" s="62"/>
      <c r="BI55" s="7"/>
      <c r="BJ55" s="32"/>
      <c r="BK55" s="59"/>
    </row>
    <row r="56" spans="1:63" ht="23.25" customHeight="1" x14ac:dyDescent="0.2">
      <c r="A56" s="62">
        <v>55</v>
      </c>
      <c r="B56" s="221"/>
      <c r="C56" s="239"/>
      <c r="D56" s="223"/>
      <c r="E56" s="54" t="s">
        <v>268</v>
      </c>
      <c r="F56" s="16">
        <v>80</v>
      </c>
      <c r="G56" s="8">
        <v>12.857139999999999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17">
        <v>0</v>
      </c>
      <c r="T56" s="8">
        <v>7.1428570000000002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14">
        <f t="shared" si="0"/>
        <v>99.999997000000008</v>
      </c>
      <c r="AE56" s="8">
        <v>0</v>
      </c>
      <c r="AF56" s="8">
        <v>0</v>
      </c>
      <c r="AG56" s="8">
        <v>0</v>
      </c>
      <c r="AH56" s="8">
        <v>0</v>
      </c>
      <c r="AI56" s="39" t="s">
        <v>1529</v>
      </c>
      <c r="AJ56" s="7">
        <v>1</v>
      </c>
      <c r="AK56" s="62">
        <v>1273</v>
      </c>
      <c r="AL56" s="158"/>
      <c r="AM56" s="85"/>
      <c r="AN56" s="85"/>
      <c r="AO56" s="85"/>
      <c r="AP56" s="85"/>
      <c r="AQ56" s="85"/>
      <c r="AR56" s="85"/>
      <c r="AS56" s="85"/>
      <c r="AT56" s="205"/>
      <c r="AU56" s="85"/>
      <c r="AV56" s="196"/>
      <c r="AW56" s="85"/>
      <c r="AX56" s="85"/>
      <c r="AY56" s="39">
        <v>0.01</v>
      </c>
      <c r="AZ56" s="7">
        <v>231.1</v>
      </c>
      <c r="BA56" s="62"/>
      <c r="BB56" s="7" t="s">
        <v>523</v>
      </c>
      <c r="BC56" s="7" t="s">
        <v>1492</v>
      </c>
      <c r="BD56" s="7" t="s">
        <v>557</v>
      </c>
      <c r="BE56" s="7" t="s">
        <v>558</v>
      </c>
      <c r="BF56" s="39"/>
      <c r="BG56" s="7"/>
      <c r="BH56" s="62"/>
      <c r="BI56" s="7"/>
      <c r="BJ56" s="32"/>
      <c r="BK56" s="59"/>
    </row>
    <row r="57" spans="1:63" ht="23.25" customHeight="1" x14ac:dyDescent="0.2">
      <c r="A57" s="7">
        <v>56</v>
      </c>
      <c r="B57" s="221"/>
      <c r="C57" s="239"/>
      <c r="D57" s="223" t="s">
        <v>265</v>
      </c>
      <c r="E57" s="54" t="s">
        <v>249</v>
      </c>
      <c r="F57" s="16">
        <v>82.857140000000001</v>
      </c>
      <c r="G57" s="8">
        <v>8.5714290000000002</v>
      </c>
      <c r="H57" s="8">
        <v>0</v>
      </c>
      <c r="I57" s="76">
        <v>0</v>
      </c>
      <c r="J57" s="76">
        <v>1.428571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17">
        <v>0</v>
      </c>
      <c r="T57" s="8">
        <v>7.1428570000000002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14">
        <f t="shared" si="0"/>
        <v>99.999997000000008</v>
      </c>
      <c r="AE57" s="8">
        <v>0</v>
      </c>
      <c r="AF57" s="8">
        <v>0</v>
      </c>
      <c r="AG57" s="8">
        <v>0</v>
      </c>
      <c r="AH57" s="8">
        <v>0</v>
      </c>
      <c r="AI57" s="39" t="s">
        <v>1529</v>
      </c>
      <c r="AJ57" s="7">
        <v>1</v>
      </c>
      <c r="AK57" s="62">
        <v>1323</v>
      </c>
      <c r="AL57" s="158">
        <v>87.5</v>
      </c>
      <c r="AM57" s="85">
        <v>10.1</v>
      </c>
      <c r="AN57" s="85">
        <v>2.4</v>
      </c>
      <c r="AO57" s="85"/>
      <c r="AP57" s="85"/>
      <c r="AQ57" s="85"/>
      <c r="AR57" s="85"/>
      <c r="AS57" s="85"/>
      <c r="AT57" s="205"/>
      <c r="AU57" s="85">
        <v>0</v>
      </c>
      <c r="AV57" s="196">
        <f t="shared" ref="AV57:AV63" si="11">SUM(AL57:AT57)</f>
        <v>100</v>
      </c>
      <c r="AW57" s="85">
        <v>11.483000000000001</v>
      </c>
      <c r="AX57" s="85"/>
      <c r="AY57" s="39">
        <v>0.01</v>
      </c>
      <c r="AZ57" s="7">
        <v>222.2</v>
      </c>
      <c r="BA57" s="62"/>
      <c r="BB57" s="7">
        <v>5</v>
      </c>
      <c r="BC57" s="7">
        <v>22.2</v>
      </c>
      <c r="BD57" s="7">
        <v>219.3</v>
      </c>
      <c r="BE57" s="7">
        <v>23.5</v>
      </c>
      <c r="BF57" s="39"/>
      <c r="BG57" s="7"/>
      <c r="BH57" s="62"/>
      <c r="BI57" s="7"/>
      <c r="BJ57" s="32"/>
      <c r="BK57" s="59"/>
    </row>
    <row r="58" spans="1:63" ht="23.25" customHeight="1" x14ac:dyDescent="0.2">
      <c r="A58" s="62">
        <v>57</v>
      </c>
      <c r="B58" s="221"/>
      <c r="C58" s="239"/>
      <c r="D58" s="223"/>
      <c r="E58" s="54" t="s">
        <v>243</v>
      </c>
      <c r="F58" s="16">
        <v>81.428569999999993</v>
      </c>
      <c r="G58" s="8">
        <v>8.5714290000000002</v>
      </c>
      <c r="H58" s="8">
        <v>0</v>
      </c>
      <c r="I58" s="76">
        <v>0</v>
      </c>
      <c r="J58" s="76">
        <v>2.8571430000000002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17">
        <v>0</v>
      </c>
      <c r="T58" s="8">
        <v>7.1428570000000002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14">
        <f t="shared" si="0"/>
        <v>99.999998999999988</v>
      </c>
      <c r="AE58" s="8">
        <v>0</v>
      </c>
      <c r="AF58" s="8">
        <v>0</v>
      </c>
      <c r="AG58" s="8">
        <v>0</v>
      </c>
      <c r="AH58" s="8">
        <v>0</v>
      </c>
      <c r="AI58" s="39" t="s">
        <v>1529</v>
      </c>
      <c r="AJ58" s="7">
        <v>1</v>
      </c>
      <c r="AK58" s="62">
        <v>1323</v>
      </c>
      <c r="AL58" s="158">
        <v>90.2</v>
      </c>
      <c r="AM58" s="85">
        <v>8.1999999999999993</v>
      </c>
      <c r="AN58" s="85">
        <v>1.6</v>
      </c>
      <c r="AO58" s="85"/>
      <c r="AP58" s="85"/>
      <c r="AQ58" s="85"/>
      <c r="AR58" s="85"/>
      <c r="AS58" s="85"/>
      <c r="AT58" s="205"/>
      <c r="AU58" s="85">
        <v>0</v>
      </c>
      <c r="AV58" s="196">
        <f t="shared" si="11"/>
        <v>100</v>
      </c>
      <c r="AW58" s="85">
        <v>11.486000000000001</v>
      </c>
      <c r="AX58" s="85"/>
      <c r="AY58" s="39">
        <v>0.01</v>
      </c>
      <c r="AZ58" s="7">
        <v>247</v>
      </c>
      <c r="BA58" s="62"/>
      <c r="BB58" s="7">
        <v>5</v>
      </c>
      <c r="BC58" s="7">
        <v>18.100000000000001</v>
      </c>
      <c r="BD58" s="7">
        <v>246</v>
      </c>
      <c r="BE58" s="7">
        <v>28.5</v>
      </c>
      <c r="BF58" s="39"/>
      <c r="BG58" s="7"/>
      <c r="BH58" s="62"/>
      <c r="BI58" s="7"/>
      <c r="BJ58" s="32"/>
      <c r="BK58" s="59"/>
    </row>
    <row r="59" spans="1:63" ht="23.25" customHeight="1" x14ac:dyDescent="0.2">
      <c r="A59" s="7">
        <v>58</v>
      </c>
      <c r="B59" s="221"/>
      <c r="C59" s="239"/>
      <c r="D59" s="223"/>
      <c r="E59" s="54" t="s">
        <v>245</v>
      </c>
      <c r="F59" s="16">
        <v>80</v>
      </c>
      <c r="G59" s="8">
        <v>8.5714290000000002</v>
      </c>
      <c r="H59" s="8">
        <v>0</v>
      </c>
      <c r="I59" s="76">
        <v>0</v>
      </c>
      <c r="J59" s="76">
        <v>4.2857139999999996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17">
        <v>0</v>
      </c>
      <c r="T59" s="8">
        <v>7.1428570000000002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14">
        <f t="shared" si="0"/>
        <v>100</v>
      </c>
      <c r="AE59" s="8">
        <v>0</v>
      </c>
      <c r="AF59" s="8">
        <v>0</v>
      </c>
      <c r="AG59" s="8">
        <v>0</v>
      </c>
      <c r="AH59" s="8">
        <v>0</v>
      </c>
      <c r="AI59" s="39" t="s">
        <v>1529</v>
      </c>
      <c r="AJ59" s="7">
        <v>1</v>
      </c>
      <c r="AK59" s="62">
        <v>1323</v>
      </c>
      <c r="AL59" s="158">
        <v>87.8</v>
      </c>
      <c r="AM59" s="85">
        <v>10.1</v>
      </c>
      <c r="AN59" s="85">
        <v>2.1</v>
      </c>
      <c r="AO59" s="85"/>
      <c r="AP59" s="85"/>
      <c r="AQ59" s="85"/>
      <c r="AR59" s="85"/>
      <c r="AS59" s="85"/>
      <c r="AT59" s="205"/>
      <c r="AU59" s="85">
        <v>0</v>
      </c>
      <c r="AV59" s="196">
        <f t="shared" si="11"/>
        <v>99.999999999999986</v>
      </c>
      <c r="AW59" s="85">
        <v>11.487</v>
      </c>
      <c r="AX59" s="85"/>
      <c r="AY59" s="39">
        <v>0.01</v>
      </c>
      <c r="AZ59" s="7">
        <v>267.2</v>
      </c>
      <c r="BA59" s="62"/>
      <c r="BB59" s="7">
        <v>5</v>
      </c>
      <c r="BC59" s="7">
        <v>17.3</v>
      </c>
      <c r="BD59" s="7">
        <v>264</v>
      </c>
      <c r="BE59" s="7">
        <v>29.3</v>
      </c>
      <c r="BF59" s="39"/>
      <c r="BG59" s="7"/>
      <c r="BH59" s="62"/>
      <c r="BI59" s="7"/>
      <c r="BJ59" s="32"/>
      <c r="BK59" s="59"/>
    </row>
    <row r="60" spans="1:63" ht="23.25" customHeight="1" x14ac:dyDescent="0.2">
      <c r="A60" s="62">
        <v>59</v>
      </c>
      <c r="B60" s="221"/>
      <c r="C60" s="239"/>
      <c r="D60" s="223"/>
      <c r="E60" s="54" t="s">
        <v>267</v>
      </c>
      <c r="F60" s="16">
        <v>78.571430000000007</v>
      </c>
      <c r="G60" s="8">
        <v>8.5714299999999994</v>
      </c>
      <c r="H60" s="8">
        <v>0</v>
      </c>
      <c r="I60" s="8">
        <v>0</v>
      </c>
      <c r="J60" s="8">
        <v>5.7142860000000004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17">
        <v>0</v>
      </c>
      <c r="T60" s="8">
        <v>7.1428570000000002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14">
        <f t="shared" si="0"/>
        <v>100.00000300000002</v>
      </c>
      <c r="AE60" s="8">
        <v>0</v>
      </c>
      <c r="AF60" s="8">
        <v>0</v>
      </c>
      <c r="AG60" s="8">
        <v>0</v>
      </c>
      <c r="AH60" s="8">
        <v>0</v>
      </c>
      <c r="AI60" s="39" t="s">
        <v>1529</v>
      </c>
      <c r="AJ60" s="7">
        <v>1</v>
      </c>
      <c r="AK60" s="62">
        <v>1323</v>
      </c>
      <c r="AL60" s="158">
        <v>86.3</v>
      </c>
      <c r="AM60" s="85">
        <v>11.8</v>
      </c>
      <c r="AN60" s="85">
        <v>1.9</v>
      </c>
      <c r="AO60" s="85"/>
      <c r="AP60" s="85"/>
      <c r="AQ60" s="85"/>
      <c r="AR60" s="85"/>
      <c r="AS60" s="85"/>
      <c r="AT60" s="205"/>
      <c r="AU60" s="85">
        <v>0</v>
      </c>
      <c r="AV60" s="196">
        <f t="shared" si="11"/>
        <v>100</v>
      </c>
      <c r="AW60" s="85">
        <v>11.49</v>
      </c>
      <c r="AX60" s="85"/>
      <c r="AY60" s="39">
        <v>0.01</v>
      </c>
      <c r="AZ60" s="7">
        <v>290</v>
      </c>
      <c r="BA60" s="62"/>
      <c r="BB60" s="7">
        <v>5</v>
      </c>
      <c r="BC60" s="7">
        <v>12.8</v>
      </c>
      <c r="BD60" s="7">
        <v>289.8</v>
      </c>
      <c r="BE60" s="7">
        <v>35.6</v>
      </c>
      <c r="BF60" s="39"/>
      <c r="BG60" s="7"/>
      <c r="BH60" s="62"/>
      <c r="BI60" s="7"/>
      <c r="BJ60" s="32"/>
      <c r="BK60" s="59"/>
    </row>
    <row r="61" spans="1:63" ht="23.25" customHeight="1" x14ac:dyDescent="0.2">
      <c r="A61" s="7">
        <v>60</v>
      </c>
      <c r="B61" s="221"/>
      <c r="C61" s="239"/>
      <c r="D61" s="223" t="s">
        <v>266</v>
      </c>
      <c r="E61" s="54" t="s">
        <v>267</v>
      </c>
      <c r="F61" s="16">
        <v>82.642859999999999</v>
      </c>
      <c r="G61" s="8">
        <v>10.21429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17">
        <v>0</v>
      </c>
      <c r="T61" s="8">
        <v>7.1428570000000002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14">
        <f t="shared" si="0"/>
        <v>100.00000700000001</v>
      </c>
      <c r="AE61" s="8">
        <f>0.8/14*100</f>
        <v>5.7142857142857144</v>
      </c>
      <c r="AF61" s="8">
        <v>0</v>
      </c>
      <c r="AG61" s="8">
        <v>0</v>
      </c>
      <c r="AH61" s="8">
        <v>0</v>
      </c>
      <c r="AI61" s="158" t="s">
        <v>1531</v>
      </c>
      <c r="AJ61" s="7">
        <v>240</v>
      </c>
      <c r="AK61" s="62">
        <v>1323</v>
      </c>
      <c r="AL61" s="158">
        <v>94</v>
      </c>
      <c r="AM61" s="85">
        <v>6</v>
      </c>
      <c r="AN61" s="85"/>
      <c r="AO61" s="85"/>
      <c r="AP61" s="85"/>
      <c r="AQ61" s="85"/>
      <c r="AR61" s="85"/>
      <c r="AS61" s="85"/>
      <c r="AT61" s="205"/>
      <c r="AU61" s="85">
        <v>0</v>
      </c>
      <c r="AV61" s="196">
        <f t="shared" si="11"/>
        <v>100</v>
      </c>
      <c r="AW61" s="85"/>
      <c r="AX61" s="85"/>
      <c r="AY61" s="39">
        <v>0.01</v>
      </c>
      <c r="AZ61" s="7">
        <v>237</v>
      </c>
      <c r="BA61" s="62"/>
      <c r="BB61" s="7">
        <v>5</v>
      </c>
      <c r="BC61" s="7">
        <v>16.3</v>
      </c>
      <c r="BD61" s="7">
        <v>240.3</v>
      </c>
      <c r="BE61" s="7">
        <v>31.9</v>
      </c>
      <c r="BF61" s="39"/>
      <c r="BG61" s="7"/>
      <c r="BH61" s="62"/>
      <c r="BI61" s="7"/>
      <c r="BJ61" s="32"/>
      <c r="BK61" s="59"/>
    </row>
    <row r="62" spans="1:63" ht="23.25" customHeight="1" x14ac:dyDescent="0.2">
      <c r="A62" s="62">
        <v>61</v>
      </c>
      <c r="B62" s="221"/>
      <c r="C62" s="239"/>
      <c r="D62" s="223"/>
      <c r="E62" s="54" t="s">
        <v>271</v>
      </c>
      <c r="F62" s="16">
        <v>82.642859999999999</v>
      </c>
      <c r="G62" s="8">
        <v>10.21429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17">
        <v>0</v>
      </c>
      <c r="T62" s="8">
        <v>7.1428571429999996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14">
        <f t="shared" si="0"/>
        <v>100.000007143</v>
      </c>
      <c r="AE62" s="8">
        <f>1.2/14*100</f>
        <v>8.5714285714285712</v>
      </c>
      <c r="AF62" s="8">
        <v>0</v>
      </c>
      <c r="AG62" s="8">
        <v>0</v>
      </c>
      <c r="AH62" s="8">
        <v>0</v>
      </c>
      <c r="AI62" s="158" t="s">
        <v>1531</v>
      </c>
      <c r="AJ62" s="7">
        <v>240</v>
      </c>
      <c r="AK62" s="62">
        <v>1323</v>
      </c>
      <c r="AL62" s="158">
        <v>94</v>
      </c>
      <c r="AM62" s="85">
        <v>6</v>
      </c>
      <c r="AN62" s="85"/>
      <c r="AO62" s="85"/>
      <c r="AP62" s="85"/>
      <c r="AQ62" s="85"/>
      <c r="AR62" s="85"/>
      <c r="AS62" s="85"/>
      <c r="AT62" s="205"/>
      <c r="AU62" s="85">
        <v>0</v>
      </c>
      <c r="AV62" s="196">
        <f t="shared" si="11"/>
        <v>100</v>
      </c>
      <c r="AW62" s="85"/>
      <c r="AX62" s="85"/>
      <c r="AY62" s="39">
        <v>0.01</v>
      </c>
      <c r="AZ62" s="7">
        <v>277</v>
      </c>
      <c r="BA62" s="62"/>
      <c r="BB62" s="7">
        <v>5</v>
      </c>
      <c r="BC62" s="7">
        <v>16.8</v>
      </c>
      <c r="BD62" s="7">
        <v>273.39999999999998</v>
      </c>
      <c r="BE62" s="7">
        <v>38.1</v>
      </c>
      <c r="BF62" s="39"/>
      <c r="BG62" s="7"/>
      <c r="BH62" s="62"/>
      <c r="BI62" s="7"/>
      <c r="BJ62" s="32"/>
      <c r="BK62" s="59"/>
    </row>
    <row r="63" spans="1:63" ht="23.25" customHeight="1" thickBot="1" x14ac:dyDescent="0.25">
      <c r="A63" s="7">
        <v>62</v>
      </c>
      <c r="B63" s="221"/>
      <c r="C63" s="240"/>
      <c r="D63" s="224"/>
      <c r="E63" s="54" t="s">
        <v>273</v>
      </c>
      <c r="F63" s="16">
        <v>82.642859999999999</v>
      </c>
      <c r="G63" s="8">
        <v>10.21429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17">
        <v>0</v>
      </c>
      <c r="T63" s="8">
        <v>7.1428570000000002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14">
        <f t="shared" si="0"/>
        <v>100.00000700000001</v>
      </c>
      <c r="AE63" s="8">
        <f>2.3/14*100</f>
        <v>16.428571428571427</v>
      </c>
      <c r="AF63" s="8">
        <v>0</v>
      </c>
      <c r="AG63" s="8">
        <v>0</v>
      </c>
      <c r="AH63" s="8">
        <v>0</v>
      </c>
      <c r="AI63" s="158" t="s">
        <v>1531</v>
      </c>
      <c r="AJ63" s="7">
        <v>240</v>
      </c>
      <c r="AK63" s="62">
        <v>1323</v>
      </c>
      <c r="AL63" s="158">
        <v>94</v>
      </c>
      <c r="AM63" s="85">
        <v>6</v>
      </c>
      <c r="AN63" s="85"/>
      <c r="AO63" s="85"/>
      <c r="AP63" s="85"/>
      <c r="AQ63" s="85"/>
      <c r="AR63" s="85"/>
      <c r="AS63" s="85"/>
      <c r="AT63" s="205"/>
      <c r="AU63" s="85">
        <v>0</v>
      </c>
      <c r="AV63" s="196">
        <f t="shared" si="11"/>
        <v>100</v>
      </c>
      <c r="AW63" s="85"/>
      <c r="AX63" s="85"/>
      <c r="AY63" s="39">
        <v>0.01</v>
      </c>
      <c r="AZ63" s="7">
        <v>348.3</v>
      </c>
      <c r="BA63" s="62"/>
      <c r="BB63" s="7">
        <v>5</v>
      </c>
      <c r="BC63" s="7">
        <v>17.2</v>
      </c>
      <c r="BD63" s="7">
        <v>342.6</v>
      </c>
      <c r="BE63" s="7">
        <v>22.2</v>
      </c>
      <c r="BF63" s="39"/>
      <c r="BG63" s="7"/>
      <c r="BH63" s="62"/>
      <c r="BI63" s="7"/>
      <c r="BJ63" s="32"/>
      <c r="BK63" s="59"/>
    </row>
    <row r="64" spans="1:63" s="4" customFormat="1" ht="23.25" customHeight="1" x14ac:dyDescent="0.2">
      <c r="A64" s="62">
        <v>63</v>
      </c>
      <c r="B64" s="238">
        <v>5</v>
      </c>
      <c r="C64" s="238" t="s">
        <v>1538</v>
      </c>
      <c r="D64" s="12" t="s">
        <v>10</v>
      </c>
      <c r="E64" s="12"/>
      <c r="F64" s="87">
        <v>82.142859999999999</v>
      </c>
      <c r="G64" s="88">
        <v>10.71429</v>
      </c>
      <c r="H64" s="88">
        <v>0</v>
      </c>
      <c r="I64" s="88">
        <v>0</v>
      </c>
      <c r="J64" s="88">
        <v>0</v>
      </c>
      <c r="K64" s="88">
        <v>0</v>
      </c>
      <c r="L64" s="88">
        <v>0</v>
      </c>
      <c r="M64" s="88">
        <v>0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9">
        <v>0</v>
      </c>
      <c r="T64" s="88">
        <v>7.1428570000000002</v>
      </c>
      <c r="U64" s="88">
        <v>0</v>
      </c>
      <c r="V64" s="88">
        <v>0</v>
      </c>
      <c r="W64" s="88">
        <v>0</v>
      </c>
      <c r="X64" s="88">
        <v>0</v>
      </c>
      <c r="Y64" s="88">
        <v>0</v>
      </c>
      <c r="Z64" s="88">
        <v>0</v>
      </c>
      <c r="AA64" s="88">
        <v>0</v>
      </c>
      <c r="AB64" s="88">
        <v>0</v>
      </c>
      <c r="AC64" s="88">
        <v>0</v>
      </c>
      <c r="AD64" s="90">
        <f t="shared" si="0"/>
        <v>100.00000700000001</v>
      </c>
      <c r="AE64" s="88">
        <v>0</v>
      </c>
      <c r="AF64" s="88">
        <v>0</v>
      </c>
      <c r="AG64" s="88">
        <v>0</v>
      </c>
      <c r="AH64" s="88">
        <v>0</v>
      </c>
      <c r="AI64" s="156" t="s">
        <v>1531</v>
      </c>
      <c r="AJ64" s="45">
        <v>240</v>
      </c>
      <c r="AK64" s="91">
        <v>1173</v>
      </c>
      <c r="AL64" s="197"/>
      <c r="AM64" s="189"/>
      <c r="AN64" s="189"/>
      <c r="AO64" s="189"/>
      <c r="AP64" s="189"/>
      <c r="AQ64" s="189"/>
      <c r="AR64" s="189"/>
      <c r="AS64" s="189"/>
      <c r="AT64" s="198"/>
      <c r="AU64" s="189"/>
      <c r="AV64" s="199"/>
      <c r="AW64" s="189"/>
      <c r="AX64" s="189"/>
      <c r="AY64" s="156">
        <v>0.3</v>
      </c>
      <c r="AZ64" s="45">
        <v>198</v>
      </c>
      <c r="BA64" s="91"/>
      <c r="BB64" s="45"/>
      <c r="BC64" s="45"/>
      <c r="BD64" s="45"/>
      <c r="BE64" s="45"/>
      <c r="BF64" s="156"/>
      <c r="BG64" s="45"/>
      <c r="BH64" s="91"/>
      <c r="BI64" s="45"/>
      <c r="BJ64" s="67"/>
      <c r="BK64" s="225"/>
    </row>
    <row r="65" spans="1:63" ht="23.25" customHeight="1" x14ac:dyDescent="0.2">
      <c r="A65" s="7">
        <v>64</v>
      </c>
      <c r="B65" s="221"/>
      <c r="C65" s="221"/>
      <c r="D65" s="54" t="s">
        <v>11</v>
      </c>
      <c r="E65" s="54"/>
      <c r="F65" s="16">
        <v>80</v>
      </c>
      <c r="G65" s="8">
        <v>12.857139999999999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17">
        <v>0</v>
      </c>
      <c r="T65" s="8">
        <v>7.1428570000000002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14">
        <f t="shared" si="0"/>
        <v>99.999997000000008</v>
      </c>
      <c r="AE65" s="8">
        <v>0</v>
      </c>
      <c r="AF65" s="8">
        <v>0</v>
      </c>
      <c r="AG65" s="8">
        <v>0</v>
      </c>
      <c r="AH65" s="8">
        <v>0</v>
      </c>
      <c r="AI65" s="39" t="s">
        <v>1531</v>
      </c>
      <c r="AJ65" s="7">
        <v>240</v>
      </c>
      <c r="AK65" s="62">
        <v>1173</v>
      </c>
      <c r="AL65" s="158"/>
      <c r="AM65" s="85"/>
      <c r="AN65" s="85"/>
      <c r="AO65" s="85"/>
      <c r="AP65" s="85"/>
      <c r="AQ65" s="85"/>
      <c r="AR65" s="85"/>
      <c r="AS65" s="85"/>
      <c r="AT65" s="205"/>
      <c r="AU65" s="85"/>
      <c r="AV65" s="196"/>
      <c r="AW65" s="85"/>
      <c r="AX65" s="85"/>
      <c r="AY65" s="39">
        <v>0.3</v>
      </c>
      <c r="AZ65" s="7">
        <v>211</v>
      </c>
      <c r="BA65" s="62"/>
      <c r="BB65" s="7"/>
      <c r="BC65" s="7"/>
      <c r="BD65" s="7"/>
      <c r="BE65" s="7"/>
      <c r="BF65" s="39"/>
      <c r="BG65" s="7"/>
      <c r="BH65" s="62"/>
      <c r="BI65" s="7"/>
      <c r="BJ65" s="32"/>
      <c r="BK65" s="223"/>
    </row>
    <row r="66" spans="1:63" ht="23.25" customHeight="1" x14ac:dyDescent="0.2">
      <c r="A66" s="62">
        <v>65</v>
      </c>
      <c r="B66" s="221"/>
      <c r="C66" s="221"/>
      <c r="D66" s="54" t="s">
        <v>12</v>
      </c>
      <c r="E66" s="54"/>
      <c r="F66" s="16">
        <v>79.285709999999995</v>
      </c>
      <c r="G66" s="8">
        <v>13.571429999999999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17">
        <v>0</v>
      </c>
      <c r="T66" s="8">
        <v>7.1428570000000002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14">
        <f t="shared" ref="AD66:AD117" si="12">SUM(F66:AC66)</f>
        <v>99.999996999999993</v>
      </c>
      <c r="AE66" s="8">
        <v>0</v>
      </c>
      <c r="AF66" s="8">
        <v>0</v>
      </c>
      <c r="AG66" s="8">
        <v>0</v>
      </c>
      <c r="AH66" s="8">
        <v>0</v>
      </c>
      <c r="AI66" s="39" t="s">
        <v>1531</v>
      </c>
      <c r="AJ66" s="7">
        <v>240</v>
      </c>
      <c r="AK66" s="62">
        <v>1173</v>
      </c>
      <c r="AL66" s="158"/>
      <c r="AM66" s="85"/>
      <c r="AN66" s="85"/>
      <c r="AO66" s="85"/>
      <c r="AP66" s="85"/>
      <c r="AQ66" s="85"/>
      <c r="AR66" s="85"/>
      <c r="AS66" s="85"/>
      <c r="AT66" s="205"/>
      <c r="AU66" s="85"/>
      <c r="AV66" s="196"/>
      <c r="AW66" s="85"/>
      <c r="AX66" s="85"/>
      <c r="AY66" s="39">
        <v>0.3</v>
      </c>
      <c r="AZ66" s="7">
        <v>219</v>
      </c>
      <c r="BA66" s="62"/>
      <c r="BB66" s="7"/>
      <c r="BC66" s="7"/>
      <c r="BD66" s="7"/>
      <c r="BE66" s="7"/>
      <c r="BF66" s="39"/>
      <c r="BG66" s="7"/>
      <c r="BH66" s="62"/>
      <c r="BI66" s="7"/>
      <c r="BJ66" s="32"/>
      <c r="BK66" s="223"/>
    </row>
    <row r="67" spans="1:63" ht="23.25" customHeight="1" x14ac:dyDescent="0.2">
      <c r="A67" s="7">
        <v>66</v>
      </c>
      <c r="B67" s="221"/>
      <c r="C67" s="221"/>
      <c r="D67" s="54" t="s">
        <v>13</v>
      </c>
      <c r="E67" s="54"/>
      <c r="F67" s="16">
        <v>78.571430000000007</v>
      </c>
      <c r="G67" s="8">
        <v>14.28571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17">
        <v>0</v>
      </c>
      <c r="T67" s="8">
        <v>7.1428570000000002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14">
        <f t="shared" si="12"/>
        <v>99.999997000000008</v>
      </c>
      <c r="AE67" s="8">
        <v>0</v>
      </c>
      <c r="AF67" s="8">
        <v>0</v>
      </c>
      <c r="AG67" s="8">
        <v>0</v>
      </c>
      <c r="AH67" s="8">
        <v>0</v>
      </c>
      <c r="AI67" s="39" t="s">
        <v>1531</v>
      </c>
      <c r="AJ67" s="7">
        <v>240</v>
      </c>
      <c r="AK67" s="62">
        <v>1173</v>
      </c>
      <c r="AL67" s="158"/>
      <c r="AM67" s="85"/>
      <c r="AN67" s="85"/>
      <c r="AO67" s="85"/>
      <c r="AP67" s="85"/>
      <c r="AQ67" s="85"/>
      <c r="AR67" s="85"/>
      <c r="AS67" s="85"/>
      <c r="AT67" s="205"/>
      <c r="AU67" s="85"/>
      <c r="AV67" s="196"/>
      <c r="AW67" s="85"/>
      <c r="AX67" s="85"/>
      <c r="AY67" s="39">
        <v>0.3</v>
      </c>
      <c r="AZ67" s="7">
        <v>230</v>
      </c>
      <c r="BA67" s="62"/>
      <c r="BB67" s="7"/>
      <c r="BC67" s="7"/>
      <c r="BD67" s="7"/>
      <c r="BE67" s="7"/>
      <c r="BF67" s="39"/>
      <c r="BG67" s="7"/>
      <c r="BH67" s="62"/>
      <c r="BI67" s="7"/>
      <c r="BJ67" s="32"/>
      <c r="BK67" s="223"/>
    </row>
    <row r="68" spans="1:63" ht="23.25" customHeight="1" x14ac:dyDescent="0.2">
      <c r="A68" s="62">
        <v>67</v>
      </c>
      <c r="B68" s="221"/>
      <c r="C68" s="221"/>
      <c r="D68" s="54" t="s">
        <v>14</v>
      </c>
      <c r="E68" s="54"/>
      <c r="F68" s="16">
        <v>77.857140000000001</v>
      </c>
      <c r="G68" s="8">
        <v>15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17">
        <v>0</v>
      </c>
      <c r="T68" s="8">
        <v>7.1428570000000002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14">
        <f t="shared" si="12"/>
        <v>99.999997000000008</v>
      </c>
      <c r="AE68" s="8">
        <v>0</v>
      </c>
      <c r="AF68" s="8">
        <v>0</v>
      </c>
      <c r="AG68" s="8">
        <v>0</v>
      </c>
      <c r="AH68" s="8">
        <v>0</v>
      </c>
      <c r="AI68" s="39" t="s">
        <v>1531</v>
      </c>
      <c r="AJ68" s="7">
        <v>240</v>
      </c>
      <c r="AK68" s="62">
        <v>1173</v>
      </c>
      <c r="AL68" s="158"/>
      <c r="AM68" s="85"/>
      <c r="AN68" s="85"/>
      <c r="AO68" s="85"/>
      <c r="AP68" s="85"/>
      <c r="AQ68" s="85"/>
      <c r="AR68" s="85"/>
      <c r="AS68" s="85"/>
      <c r="AT68" s="205"/>
      <c r="AU68" s="85"/>
      <c r="AV68" s="196"/>
      <c r="AW68" s="85"/>
      <c r="AX68" s="85"/>
      <c r="AY68" s="39">
        <v>0.3</v>
      </c>
      <c r="AZ68" s="7">
        <v>234</v>
      </c>
      <c r="BA68" s="62"/>
      <c r="BB68" s="7"/>
      <c r="BC68" s="7"/>
      <c r="BD68" s="7"/>
      <c r="BE68" s="7"/>
      <c r="BF68" s="39"/>
      <c r="BG68" s="7"/>
      <c r="BH68" s="62"/>
      <c r="BI68" s="7"/>
      <c r="BJ68" s="32"/>
      <c r="BK68" s="223"/>
    </row>
    <row r="69" spans="1:63" ht="23.25" customHeight="1" x14ac:dyDescent="0.2">
      <c r="A69" s="7">
        <v>68</v>
      </c>
      <c r="B69" s="221"/>
      <c r="C69" s="221"/>
      <c r="D69" s="54" t="s">
        <v>15</v>
      </c>
      <c r="E69" s="54"/>
      <c r="F69" s="16">
        <v>77.142859999999999</v>
      </c>
      <c r="G69" s="8">
        <v>15.71429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17">
        <v>0</v>
      </c>
      <c r="T69" s="8">
        <v>7.1428570000000002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14">
        <f t="shared" si="12"/>
        <v>100.00000700000001</v>
      </c>
      <c r="AE69" s="8">
        <v>0</v>
      </c>
      <c r="AF69" s="8">
        <v>0</v>
      </c>
      <c r="AG69" s="8">
        <v>0</v>
      </c>
      <c r="AH69" s="8">
        <v>0</v>
      </c>
      <c r="AI69" s="39" t="s">
        <v>1531</v>
      </c>
      <c r="AJ69" s="7">
        <v>240</v>
      </c>
      <c r="AK69" s="62">
        <v>1173</v>
      </c>
      <c r="AL69" s="158"/>
      <c r="AM69" s="85"/>
      <c r="AN69" s="85"/>
      <c r="AO69" s="85"/>
      <c r="AP69" s="85"/>
      <c r="AQ69" s="85"/>
      <c r="AR69" s="85"/>
      <c r="AS69" s="85"/>
      <c r="AT69" s="205"/>
      <c r="AU69" s="85"/>
      <c r="AV69" s="196"/>
      <c r="AW69" s="85"/>
      <c r="AX69" s="85"/>
      <c r="AY69" s="39">
        <v>0.3</v>
      </c>
      <c r="AZ69" s="7">
        <v>245</v>
      </c>
      <c r="BA69" s="62"/>
      <c r="BB69" s="7"/>
      <c r="BC69" s="7"/>
      <c r="BD69" s="7"/>
      <c r="BE69" s="7"/>
      <c r="BF69" s="39"/>
      <c r="BG69" s="7"/>
      <c r="BH69" s="62"/>
      <c r="BI69" s="7"/>
      <c r="BJ69" s="32"/>
      <c r="BK69" s="223"/>
    </row>
    <row r="70" spans="1:63" s="6" customFormat="1" ht="23.25" customHeight="1" thickBot="1" x14ac:dyDescent="0.25">
      <c r="A70" s="62">
        <v>69</v>
      </c>
      <c r="B70" s="222"/>
      <c r="C70" s="222"/>
      <c r="D70" s="13" t="s">
        <v>16</v>
      </c>
      <c r="E70" s="13"/>
      <c r="F70" s="80">
        <v>75</v>
      </c>
      <c r="G70" s="81">
        <v>17.857140000000001</v>
      </c>
      <c r="H70" s="81">
        <v>0</v>
      </c>
      <c r="I70" s="81">
        <v>0</v>
      </c>
      <c r="J70" s="81">
        <v>0</v>
      </c>
      <c r="K70" s="81">
        <v>0</v>
      </c>
      <c r="L70" s="81">
        <v>0</v>
      </c>
      <c r="M70" s="81">
        <v>0</v>
      </c>
      <c r="N70" s="81">
        <v>0</v>
      </c>
      <c r="O70" s="81">
        <v>0</v>
      </c>
      <c r="P70" s="81">
        <v>0</v>
      </c>
      <c r="Q70" s="81">
        <v>0</v>
      </c>
      <c r="R70" s="81">
        <v>0</v>
      </c>
      <c r="S70" s="82">
        <v>0</v>
      </c>
      <c r="T70" s="81">
        <v>7.1428570000000002</v>
      </c>
      <c r="U70" s="81">
        <v>0</v>
      </c>
      <c r="V70" s="81">
        <v>0</v>
      </c>
      <c r="W70" s="81">
        <v>0</v>
      </c>
      <c r="X70" s="81">
        <v>0</v>
      </c>
      <c r="Y70" s="81">
        <v>0</v>
      </c>
      <c r="Z70" s="81">
        <v>0</v>
      </c>
      <c r="AA70" s="81">
        <v>0</v>
      </c>
      <c r="AB70" s="81">
        <v>0</v>
      </c>
      <c r="AC70" s="81">
        <v>0</v>
      </c>
      <c r="AD70" s="83">
        <f t="shared" si="12"/>
        <v>99.999997000000008</v>
      </c>
      <c r="AE70" s="81">
        <v>0</v>
      </c>
      <c r="AF70" s="81">
        <v>0</v>
      </c>
      <c r="AG70" s="81">
        <v>0</v>
      </c>
      <c r="AH70" s="81">
        <v>0</v>
      </c>
      <c r="AI70" s="79" t="s">
        <v>1531</v>
      </c>
      <c r="AJ70" s="65">
        <v>240</v>
      </c>
      <c r="AK70" s="78">
        <v>1173</v>
      </c>
      <c r="AL70" s="200"/>
      <c r="AM70" s="190"/>
      <c r="AN70" s="190"/>
      <c r="AO70" s="190"/>
      <c r="AP70" s="190"/>
      <c r="AQ70" s="190"/>
      <c r="AR70" s="190"/>
      <c r="AS70" s="190"/>
      <c r="AT70" s="201"/>
      <c r="AU70" s="190"/>
      <c r="AV70" s="202"/>
      <c r="AW70" s="190"/>
      <c r="AX70" s="190"/>
      <c r="AY70" s="79">
        <v>0.3</v>
      </c>
      <c r="AZ70" s="65">
        <v>262</v>
      </c>
      <c r="BA70" s="78"/>
      <c r="BB70" s="65"/>
      <c r="BC70" s="65"/>
      <c r="BD70" s="65"/>
      <c r="BE70" s="65"/>
      <c r="BF70" s="79"/>
      <c r="BG70" s="65"/>
      <c r="BH70" s="78"/>
      <c r="BI70" s="65"/>
      <c r="BJ70" s="68"/>
      <c r="BK70" s="224"/>
    </row>
    <row r="71" spans="1:63" s="4" customFormat="1" ht="23.25" customHeight="1" x14ac:dyDescent="0.2">
      <c r="A71" s="7">
        <v>70</v>
      </c>
      <c r="B71" s="238">
        <v>6</v>
      </c>
      <c r="C71" s="238" t="s">
        <v>1537</v>
      </c>
      <c r="D71" s="12" t="s">
        <v>17</v>
      </c>
      <c r="E71" s="12"/>
      <c r="F71" s="96">
        <v>82.857140000000001</v>
      </c>
      <c r="G71" s="97">
        <v>10</v>
      </c>
      <c r="H71" s="97">
        <v>0</v>
      </c>
      <c r="I71" s="97">
        <v>0</v>
      </c>
      <c r="J71" s="97">
        <v>0</v>
      </c>
      <c r="K71" s="88">
        <v>0</v>
      </c>
      <c r="L71" s="88">
        <v>0</v>
      </c>
      <c r="M71" s="88">
        <v>0</v>
      </c>
      <c r="N71" s="88">
        <v>0</v>
      </c>
      <c r="O71" s="88">
        <v>0</v>
      </c>
      <c r="P71" s="88">
        <v>0</v>
      </c>
      <c r="Q71" s="88">
        <v>0</v>
      </c>
      <c r="R71" s="88">
        <v>0</v>
      </c>
      <c r="S71" s="89">
        <v>0</v>
      </c>
      <c r="T71" s="88">
        <v>7.1428570000000002</v>
      </c>
      <c r="U71" s="88">
        <v>0</v>
      </c>
      <c r="V71" s="88">
        <v>0</v>
      </c>
      <c r="W71" s="88">
        <v>0</v>
      </c>
      <c r="X71" s="88">
        <v>0</v>
      </c>
      <c r="Y71" s="88">
        <v>0</v>
      </c>
      <c r="Z71" s="88">
        <v>0</v>
      </c>
      <c r="AA71" s="88">
        <v>0</v>
      </c>
      <c r="AB71" s="88">
        <v>0</v>
      </c>
      <c r="AC71" s="88">
        <v>0</v>
      </c>
      <c r="AD71" s="90">
        <f t="shared" si="12"/>
        <v>99.999997000000008</v>
      </c>
      <c r="AE71" s="88">
        <v>0</v>
      </c>
      <c r="AF71" s="88">
        <v>0</v>
      </c>
      <c r="AG71" s="88">
        <v>0</v>
      </c>
      <c r="AH71" s="88">
        <v>0</v>
      </c>
      <c r="AI71" s="156" t="s">
        <v>1531</v>
      </c>
      <c r="AJ71" s="45">
        <v>168</v>
      </c>
      <c r="AK71" s="91">
        <v>1423</v>
      </c>
      <c r="AL71" s="197">
        <v>98.2</v>
      </c>
      <c r="AM71" s="189">
        <v>1.8</v>
      </c>
      <c r="AN71" s="189"/>
      <c r="AO71" s="189"/>
      <c r="AP71" s="189"/>
      <c r="AQ71" s="189"/>
      <c r="AR71" s="189"/>
      <c r="AS71" s="189"/>
      <c r="AT71" s="198"/>
      <c r="AU71" s="189">
        <v>0</v>
      </c>
      <c r="AV71" s="199">
        <f t="shared" ref="AV71:AV72" si="13">SUM(AL71:AT71)</f>
        <v>100</v>
      </c>
      <c r="AW71" s="189"/>
      <c r="AX71" s="189"/>
      <c r="AY71" s="156"/>
      <c r="AZ71" s="45"/>
      <c r="BA71" s="91"/>
      <c r="BB71" s="45">
        <v>2</v>
      </c>
      <c r="BC71" s="45">
        <v>22.2</v>
      </c>
      <c r="BD71" s="45">
        <v>195</v>
      </c>
      <c r="BE71" s="45"/>
      <c r="BF71" s="156">
        <v>1.93</v>
      </c>
      <c r="BG71" s="45">
        <v>7.3</v>
      </c>
      <c r="BH71" s="91">
        <v>191.3</v>
      </c>
      <c r="BI71" s="45">
        <v>7.2</v>
      </c>
      <c r="BJ71" s="67"/>
      <c r="BK71" s="225"/>
    </row>
    <row r="72" spans="1:63" s="6" customFormat="1" ht="23.25" customHeight="1" thickBot="1" x14ac:dyDescent="0.25">
      <c r="A72" s="62">
        <v>71</v>
      </c>
      <c r="B72" s="222"/>
      <c r="C72" s="222"/>
      <c r="D72" s="13" t="s">
        <v>18</v>
      </c>
      <c r="E72" s="13"/>
      <c r="F72" s="80">
        <v>82.857140000000001</v>
      </c>
      <c r="G72" s="81">
        <v>10</v>
      </c>
      <c r="H72" s="81">
        <v>0</v>
      </c>
      <c r="I72" s="81">
        <v>0</v>
      </c>
      <c r="J72" s="81">
        <v>0</v>
      </c>
      <c r="K72" s="81">
        <v>0</v>
      </c>
      <c r="L72" s="81">
        <v>0</v>
      </c>
      <c r="M72" s="81">
        <v>0</v>
      </c>
      <c r="N72" s="81">
        <v>0</v>
      </c>
      <c r="O72" s="81">
        <v>0</v>
      </c>
      <c r="P72" s="81">
        <v>0</v>
      </c>
      <c r="Q72" s="81">
        <v>0</v>
      </c>
      <c r="R72" s="81">
        <v>0</v>
      </c>
      <c r="S72" s="82">
        <v>0</v>
      </c>
      <c r="T72" s="81">
        <v>7.1428570000000002</v>
      </c>
      <c r="U72" s="81">
        <v>0</v>
      </c>
      <c r="V72" s="81">
        <v>0</v>
      </c>
      <c r="W72" s="81">
        <v>0</v>
      </c>
      <c r="X72" s="81">
        <v>0</v>
      </c>
      <c r="Y72" s="81">
        <v>0</v>
      </c>
      <c r="Z72" s="81">
        <v>0</v>
      </c>
      <c r="AA72" s="81">
        <v>0</v>
      </c>
      <c r="AB72" s="81">
        <v>0</v>
      </c>
      <c r="AC72" s="81">
        <v>0</v>
      </c>
      <c r="AD72" s="83">
        <f t="shared" si="12"/>
        <v>99.999997000000008</v>
      </c>
      <c r="AE72" s="81">
        <f>1.6/14*100</f>
        <v>11.428571428571429</v>
      </c>
      <c r="AF72" s="81">
        <v>0</v>
      </c>
      <c r="AG72" s="81">
        <v>0</v>
      </c>
      <c r="AH72" s="81">
        <v>0</v>
      </c>
      <c r="AI72" s="79" t="s">
        <v>1529</v>
      </c>
      <c r="AJ72" s="65">
        <v>2</v>
      </c>
      <c r="AK72" s="78">
        <v>1323</v>
      </c>
      <c r="AL72" s="200">
        <v>91</v>
      </c>
      <c r="AM72" s="190">
        <v>9</v>
      </c>
      <c r="AN72" s="190"/>
      <c r="AO72" s="190"/>
      <c r="AP72" s="190"/>
      <c r="AQ72" s="190"/>
      <c r="AR72" s="190"/>
      <c r="AS72" s="190"/>
      <c r="AT72" s="201"/>
      <c r="AU72" s="190">
        <v>0</v>
      </c>
      <c r="AV72" s="202">
        <f t="shared" si="13"/>
        <v>100</v>
      </c>
      <c r="AW72" s="190"/>
      <c r="AX72" s="190"/>
      <c r="AY72" s="79"/>
      <c r="AZ72" s="65"/>
      <c r="BA72" s="78"/>
      <c r="BB72" s="65"/>
      <c r="BC72" s="65"/>
      <c r="BD72" s="65"/>
      <c r="BE72" s="65"/>
      <c r="BF72" s="79">
        <v>1.93</v>
      </c>
      <c r="BG72" s="65">
        <v>3.7</v>
      </c>
      <c r="BH72" s="78"/>
      <c r="BI72" s="65"/>
      <c r="BJ72" s="68"/>
      <c r="BK72" s="224"/>
    </row>
    <row r="73" spans="1:63" ht="23.25" customHeight="1" x14ac:dyDescent="0.2">
      <c r="A73" s="7">
        <v>72</v>
      </c>
      <c r="B73" s="221">
        <v>7</v>
      </c>
      <c r="C73" s="221" t="s">
        <v>1536</v>
      </c>
      <c r="D73" s="225" t="s">
        <v>274</v>
      </c>
      <c r="E73" s="54" t="s">
        <v>275</v>
      </c>
      <c r="F73" s="16">
        <f>0.46*13/14*100</f>
        <v>42.714285714285715</v>
      </c>
      <c r="G73" s="8">
        <v>0</v>
      </c>
      <c r="H73" s="8">
        <v>50.142859999999999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17">
        <v>0</v>
      </c>
      <c r="T73" s="8">
        <v>7.1428570000000002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14">
        <f t="shared" si="12"/>
        <v>100.00000271428571</v>
      </c>
      <c r="AE73" s="8">
        <v>0</v>
      </c>
      <c r="AF73" s="8">
        <v>0</v>
      </c>
      <c r="AG73" s="8">
        <v>0</v>
      </c>
      <c r="AH73" s="8">
        <v>0</v>
      </c>
      <c r="AI73" s="39" t="s">
        <v>1531</v>
      </c>
      <c r="AJ73" s="7">
        <v>240</v>
      </c>
      <c r="AK73" s="62">
        <v>1173</v>
      </c>
      <c r="AL73" s="158"/>
      <c r="AM73" s="85"/>
      <c r="AN73" s="85"/>
      <c r="AO73" s="85"/>
      <c r="AP73" s="85"/>
      <c r="AQ73" s="85"/>
      <c r="AR73" s="85"/>
      <c r="AS73" s="85"/>
      <c r="AT73" s="205"/>
      <c r="AU73" s="85"/>
      <c r="AV73" s="196"/>
      <c r="AW73" s="85">
        <v>11.922000000000001</v>
      </c>
      <c r="AX73" s="85"/>
      <c r="AY73" s="39"/>
      <c r="AZ73" s="85">
        <v>53</v>
      </c>
      <c r="BA73" s="62"/>
      <c r="BB73" s="7"/>
      <c r="BC73" s="7"/>
      <c r="BD73" s="7"/>
      <c r="BE73" s="7"/>
      <c r="BF73" s="39"/>
      <c r="BG73" s="7"/>
      <c r="BH73" s="62"/>
      <c r="BI73" s="7"/>
      <c r="BJ73" s="32"/>
      <c r="BK73" s="223"/>
    </row>
    <row r="74" spans="1:63" ht="23.25" customHeight="1" x14ac:dyDescent="0.2">
      <c r="A74" s="62">
        <v>73</v>
      </c>
      <c r="B74" s="221"/>
      <c r="C74" s="221"/>
      <c r="D74" s="223"/>
      <c r="E74" s="54" t="s">
        <v>276</v>
      </c>
      <c r="F74" s="16">
        <v>50.142859999999999</v>
      </c>
      <c r="G74" s="8">
        <v>0</v>
      </c>
      <c r="H74" s="8">
        <v>42.714289999999998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17">
        <v>0</v>
      </c>
      <c r="T74" s="8">
        <v>7.1428570000000002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14">
        <f t="shared" si="12"/>
        <v>100.000007</v>
      </c>
      <c r="AE74" s="8">
        <v>0</v>
      </c>
      <c r="AF74" s="8">
        <v>0</v>
      </c>
      <c r="AG74" s="8">
        <v>0</v>
      </c>
      <c r="AH74" s="8">
        <v>0</v>
      </c>
      <c r="AI74" s="39" t="s">
        <v>1531</v>
      </c>
      <c r="AJ74" s="7">
        <v>240</v>
      </c>
      <c r="AK74" s="62">
        <v>1173</v>
      </c>
      <c r="AL74" s="158"/>
      <c r="AM74" s="85"/>
      <c r="AN74" s="85"/>
      <c r="AO74" s="85"/>
      <c r="AP74" s="85"/>
      <c r="AQ74" s="85"/>
      <c r="AR74" s="85"/>
      <c r="AS74" s="85"/>
      <c r="AT74" s="205"/>
      <c r="AU74" s="85"/>
      <c r="AV74" s="196"/>
      <c r="AW74" s="85">
        <v>11.851000000000001</v>
      </c>
      <c r="AX74" s="85"/>
      <c r="AY74" s="39"/>
      <c r="AZ74" s="85">
        <v>45</v>
      </c>
      <c r="BA74" s="62"/>
      <c r="BB74" s="7"/>
      <c r="BC74" s="7"/>
      <c r="BD74" s="7"/>
      <c r="BE74" s="7"/>
      <c r="BF74" s="39"/>
      <c r="BG74" s="7"/>
      <c r="BH74" s="62"/>
      <c r="BI74" s="7"/>
      <c r="BJ74" s="32"/>
      <c r="BK74" s="223"/>
    </row>
    <row r="75" spans="1:63" s="38" customFormat="1" ht="23.25" customHeight="1" x14ac:dyDescent="0.2">
      <c r="A75" s="7">
        <v>74</v>
      </c>
      <c r="B75" s="221"/>
      <c r="C75" s="221"/>
      <c r="D75" s="223"/>
      <c r="E75" s="54" t="s">
        <v>277</v>
      </c>
      <c r="F75" s="16">
        <v>53.857140000000001</v>
      </c>
      <c r="G75" s="8">
        <v>0</v>
      </c>
      <c r="H75" s="8">
        <v>39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17">
        <v>0</v>
      </c>
      <c r="T75" s="8">
        <v>7.1428570000000002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14">
        <f t="shared" si="12"/>
        <v>99.999997000000008</v>
      </c>
      <c r="AE75" s="8">
        <v>0</v>
      </c>
      <c r="AF75" s="8">
        <v>0</v>
      </c>
      <c r="AG75" s="8">
        <v>0</v>
      </c>
      <c r="AH75" s="8">
        <v>0</v>
      </c>
      <c r="AI75" s="39" t="s">
        <v>1531</v>
      </c>
      <c r="AJ75" s="7">
        <v>240</v>
      </c>
      <c r="AK75" s="62">
        <v>1173</v>
      </c>
      <c r="AL75" s="158"/>
      <c r="AM75" s="85"/>
      <c r="AN75" s="85"/>
      <c r="AO75" s="85"/>
      <c r="AP75" s="85"/>
      <c r="AQ75" s="85"/>
      <c r="AR75" s="85"/>
      <c r="AS75" s="85"/>
      <c r="AT75" s="205"/>
      <c r="AU75" s="85"/>
      <c r="AV75" s="196"/>
      <c r="AW75" s="85"/>
      <c r="AX75" s="85"/>
      <c r="AY75" s="39"/>
      <c r="AZ75" s="85">
        <v>42</v>
      </c>
      <c r="BA75" s="62"/>
      <c r="BB75" s="7"/>
      <c r="BC75" s="7"/>
      <c r="BD75" s="7"/>
      <c r="BE75" s="7"/>
      <c r="BF75" s="39"/>
      <c r="BG75" s="7"/>
      <c r="BH75" s="62"/>
      <c r="BI75" s="7"/>
      <c r="BJ75" s="32"/>
      <c r="BK75" s="223"/>
    </row>
    <row r="76" spans="1:63" ht="23.25" customHeight="1" x14ac:dyDescent="0.2">
      <c r="A76" s="62">
        <v>75</v>
      </c>
      <c r="B76" s="221"/>
      <c r="C76" s="221"/>
      <c r="D76" s="223"/>
      <c r="E76" s="54" t="s">
        <v>278</v>
      </c>
      <c r="F76" s="16">
        <v>57.571429999999999</v>
      </c>
      <c r="G76" s="8">
        <v>0</v>
      </c>
      <c r="H76" s="8">
        <v>35.285710000000002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17">
        <v>0</v>
      </c>
      <c r="T76" s="8">
        <v>7.1428570000000002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14">
        <f t="shared" si="12"/>
        <v>99.999997000000008</v>
      </c>
      <c r="AE76" s="8">
        <v>0</v>
      </c>
      <c r="AF76" s="8">
        <v>0</v>
      </c>
      <c r="AG76" s="8">
        <v>0</v>
      </c>
      <c r="AH76" s="8">
        <v>0</v>
      </c>
      <c r="AI76" s="39" t="s">
        <v>1531</v>
      </c>
      <c r="AJ76" s="7">
        <v>240</v>
      </c>
      <c r="AK76" s="62">
        <v>1173</v>
      </c>
      <c r="AL76" s="158"/>
      <c r="AM76" s="85"/>
      <c r="AN76" s="85"/>
      <c r="AO76" s="85"/>
      <c r="AP76" s="85"/>
      <c r="AQ76" s="85"/>
      <c r="AR76" s="85"/>
      <c r="AS76" s="85"/>
      <c r="AT76" s="205"/>
      <c r="AU76" s="85"/>
      <c r="AV76" s="196"/>
      <c r="AW76" s="85">
        <v>11.791</v>
      </c>
      <c r="AX76" s="85"/>
      <c r="AY76" s="39"/>
      <c r="AZ76" s="85">
        <v>136</v>
      </c>
      <c r="BA76" s="62"/>
      <c r="BB76" s="7"/>
      <c r="BC76" s="7"/>
      <c r="BD76" s="7"/>
      <c r="BE76" s="7"/>
      <c r="BF76" s="39"/>
      <c r="BG76" s="7"/>
      <c r="BH76" s="62"/>
      <c r="BI76" s="7"/>
      <c r="BJ76" s="32"/>
      <c r="BK76" s="223"/>
    </row>
    <row r="77" spans="1:63" ht="23.25" customHeight="1" x14ac:dyDescent="0.2">
      <c r="A77" s="7">
        <v>76</v>
      </c>
      <c r="B77" s="221"/>
      <c r="C77" s="221"/>
      <c r="D77" s="223"/>
      <c r="E77" s="54" t="s">
        <v>279</v>
      </c>
      <c r="F77" s="16">
        <v>60.357140000000001</v>
      </c>
      <c r="G77" s="8">
        <v>0</v>
      </c>
      <c r="H77" s="8">
        <v>32.5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17">
        <v>0</v>
      </c>
      <c r="T77" s="8">
        <v>7.1428570000000002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14">
        <f t="shared" si="12"/>
        <v>99.999997000000008</v>
      </c>
      <c r="AE77" s="8">
        <v>0</v>
      </c>
      <c r="AF77" s="8">
        <v>0</v>
      </c>
      <c r="AG77" s="8">
        <v>0</v>
      </c>
      <c r="AH77" s="8">
        <v>0</v>
      </c>
      <c r="AI77" s="39" t="s">
        <v>1531</v>
      </c>
      <c r="AJ77" s="7">
        <v>240</v>
      </c>
      <c r="AK77" s="62">
        <v>1173</v>
      </c>
      <c r="AL77" s="158"/>
      <c r="AM77" s="85"/>
      <c r="AN77" s="85"/>
      <c r="AO77" s="85"/>
      <c r="AP77" s="85"/>
      <c r="AQ77" s="85"/>
      <c r="AR77" s="85"/>
      <c r="AS77" s="85"/>
      <c r="AT77" s="205"/>
      <c r="AU77" s="85"/>
      <c r="AV77" s="196"/>
      <c r="AW77" s="85"/>
      <c r="AX77" s="85"/>
      <c r="AY77" s="39"/>
      <c r="AZ77" s="85">
        <v>199</v>
      </c>
      <c r="BA77" s="62"/>
      <c r="BB77" s="7"/>
      <c r="BC77" s="7"/>
      <c r="BD77" s="7"/>
      <c r="BE77" s="7"/>
      <c r="BF77" s="39"/>
      <c r="BG77" s="7"/>
      <c r="BH77" s="62"/>
      <c r="BI77" s="7"/>
      <c r="BJ77" s="32"/>
      <c r="BK77" s="223"/>
    </row>
    <row r="78" spans="1:63" ht="23.25" customHeight="1" x14ac:dyDescent="0.2">
      <c r="A78" s="62">
        <v>77</v>
      </c>
      <c r="B78" s="221"/>
      <c r="C78" s="221"/>
      <c r="D78" s="223"/>
      <c r="E78" s="54" t="s">
        <v>289</v>
      </c>
      <c r="F78" s="16">
        <v>65</v>
      </c>
      <c r="G78" s="8">
        <v>0</v>
      </c>
      <c r="H78" s="8">
        <v>27.857140000000001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17">
        <v>0</v>
      </c>
      <c r="T78" s="8">
        <v>7.1428570000000002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14">
        <f t="shared" si="12"/>
        <v>99.999997000000008</v>
      </c>
      <c r="AE78" s="8">
        <v>0</v>
      </c>
      <c r="AF78" s="8">
        <v>0</v>
      </c>
      <c r="AG78" s="8">
        <v>0</v>
      </c>
      <c r="AH78" s="8">
        <v>0</v>
      </c>
      <c r="AI78" s="39" t="s">
        <v>1531</v>
      </c>
      <c r="AJ78" s="7">
        <v>240</v>
      </c>
      <c r="AK78" s="62">
        <v>1173</v>
      </c>
      <c r="AL78" s="158"/>
      <c r="AM78" s="85"/>
      <c r="AN78" s="85"/>
      <c r="AO78" s="85"/>
      <c r="AP78" s="85"/>
      <c r="AQ78" s="85"/>
      <c r="AR78" s="85"/>
      <c r="AS78" s="85"/>
      <c r="AT78" s="205"/>
      <c r="AU78" s="85"/>
      <c r="AV78" s="196"/>
      <c r="AW78" s="85">
        <v>11.726000000000001</v>
      </c>
      <c r="AX78" s="85"/>
      <c r="AY78" s="39"/>
      <c r="AZ78" s="85">
        <v>235</v>
      </c>
      <c r="BA78" s="62"/>
      <c r="BB78" s="7"/>
      <c r="BC78" s="7"/>
      <c r="BD78" s="7"/>
      <c r="BE78" s="7"/>
      <c r="BF78" s="39"/>
      <c r="BG78" s="7"/>
      <c r="BH78" s="62"/>
      <c r="BI78" s="7"/>
      <c r="BJ78" s="32"/>
      <c r="BK78" s="223"/>
    </row>
    <row r="79" spans="1:63" ht="23.25" customHeight="1" x14ac:dyDescent="0.2">
      <c r="A79" s="7">
        <v>78</v>
      </c>
      <c r="B79" s="221"/>
      <c r="C79" s="221"/>
      <c r="D79" s="223"/>
      <c r="E79" s="54" t="s">
        <v>281</v>
      </c>
      <c r="F79" s="16">
        <v>67.785709999999995</v>
      </c>
      <c r="G79" s="8">
        <v>0</v>
      </c>
      <c r="H79" s="8">
        <v>25.071429999999999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17">
        <v>0</v>
      </c>
      <c r="T79" s="8">
        <v>7.1428570000000002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14">
        <f t="shared" si="12"/>
        <v>99.999996999999993</v>
      </c>
      <c r="AE79" s="8">
        <v>0</v>
      </c>
      <c r="AF79" s="8">
        <v>0</v>
      </c>
      <c r="AG79" s="8">
        <v>0</v>
      </c>
      <c r="AH79" s="8">
        <v>0</v>
      </c>
      <c r="AI79" s="39" t="s">
        <v>1531</v>
      </c>
      <c r="AJ79" s="7">
        <v>240</v>
      </c>
      <c r="AK79" s="62">
        <v>1173</v>
      </c>
      <c r="AL79" s="158"/>
      <c r="AM79" s="85"/>
      <c r="AN79" s="85"/>
      <c r="AO79" s="85"/>
      <c r="AP79" s="85"/>
      <c r="AQ79" s="85"/>
      <c r="AR79" s="85"/>
      <c r="AS79" s="85"/>
      <c r="AT79" s="205"/>
      <c r="AU79" s="85"/>
      <c r="AV79" s="196"/>
      <c r="AW79" s="85"/>
      <c r="AX79" s="85"/>
      <c r="AY79" s="39"/>
      <c r="AZ79" s="85">
        <v>249</v>
      </c>
      <c r="BA79" s="62"/>
      <c r="BB79" s="7"/>
      <c r="BC79" s="7"/>
      <c r="BD79" s="7"/>
      <c r="BE79" s="7"/>
      <c r="BF79" s="39"/>
      <c r="BG79" s="7"/>
      <c r="BH79" s="62"/>
      <c r="BI79" s="7"/>
      <c r="BJ79" s="32"/>
      <c r="BK79" s="223"/>
    </row>
    <row r="80" spans="1:63" ht="23.25" customHeight="1" x14ac:dyDescent="0.2">
      <c r="A80" s="62">
        <v>79</v>
      </c>
      <c r="B80" s="221"/>
      <c r="C80" s="221"/>
      <c r="D80" s="223"/>
      <c r="E80" s="54" t="s">
        <v>282</v>
      </c>
      <c r="F80" s="16">
        <v>71.5</v>
      </c>
      <c r="G80" s="8">
        <v>0</v>
      </c>
      <c r="H80" s="8">
        <v>21.357140000000001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17">
        <v>0</v>
      </c>
      <c r="T80" s="8">
        <v>7.1428570000000002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14">
        <f t="shared" si="12"/>
        <v>99.999997000000008</v>
      </c>
      <c r="AE80" s="8">
        <v>0</v>
      </c>
      <c r="AF80" s="8">
        <v>0</v>
      </c>
      <c r="AG80" s="8">
        <v>0</v>
      </c>
      <c r="AH80" s="8">
        <v>0</v>
      </c>
      <c r="AI80" s="39" t="s">
        <v>1531</v>
      </c>
      <c r="AJ80" s="7">
        <v>240</v>
      </c>
      <c r="AK80" s="62">
        <v>1173</v>
      </c>
      <c r="AL80" s="158"/>
      <c r="AM80" s="85"/>
      <c r="AN80" s="85"/>
      <c r="AO80" s="85"/>
      <c r="AP80" s="85"/>
      <c r="AQ80" s="85"/>
      <c r="AR80" s="85"/>
      <c r="AS80" s="85"/>
      <c r="AT80" s="205"/>
      <c r="AU80" s="85"/>
      <c r="AV80" s="196"/>
      <c r="AW80" s="85">
        <v>11.673999999999999</v>
      </c>
      <c r="AX80" s="85"/>
      <c r="AY80" s="39"/>
      <c r="AZ80" s="85">
        <v>249</v>
      </c>
      <c r="BA80" s="62"/>
      <c r="BB80" s="7"/>
      <c r="BC80" s="7"/>
      <c r="BD80" s="7"/>
      <c r="BE80" s="7"/>
      <c r="BF80" s="39"/>
      <c r="BG80" s="7"/>
      <c r="BH80" s="62"/>
      <c r="BI80" s="7"/>
      <c r="BJ80" s="32"/>
      <c r="BK80" s="223"/>
    </row>
    <row r="81" spans="1:63" ht="23.25" customHeight="1" x14ac:dyDescent="0.2">
      <c r="A81" s="7">
        <v>80</v>
      </c>
      <c r="B81" s="221"/>
      <c r="C81" s="221"/>
      <c r="D81" s="223"/>
      <c r="E81" s="54" t="s">
        <v>283</v>
      </c>
      <c r="F81" s="16">
        <v>74.285709999999995</v>
      </c>
      <c r="G81" s="8">
        <v>0</v>
      </c>
      <c r="H81" s="8">
        <v>18.571429999999999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17">
        <v>0</v>
      </c>
      <c r="T81" s="8">
        <v>7.1428570000000002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14">
        <f t="shared" si="12"/>
        <v>99.999996999999993</v>
      </c>
      <c r="AE81" s="8">
        <v>0</v>
      </c>
      <c r="AF81" s="8">
        <v>0</v>
      </c>
      <c r="AG81" s="8">
        <v>0</v>
      </c>
      <c r="AH81" s="8">
        <v>0</v>
      </c>
      <c r="AI81" s="39" t="s">
        <v>1531</v>
      </c>
      <c r="AJ81" s="7">
        <v>240</v>
      </c>
      <c r="AK81" s="62">
        <v>1173</v>
      </c>
      <c r="AL81" s="158"/>
      <c r="AM81" s="85"/>
      <c r="AN81" s="85"/>
      <c r="AO81" s="85"/>
      <c r="AP81" s="85"/>
      <c r="AQ81" s="85"/>
      <c r="AR81" s="85"/>
      <c r="AS81" s="85"/>
      <c r="AT81" s="205"/>
      <c r="AU81" s="85"/>
      <c r="AV81" s="196"/>
      <c r="AW81" s="85"/>
      <c r="AX81" s="85"/>
      <c r="AY81" s="39"/>
      <c r="AZ81" s="85">
        <v>227</v>
      </c>
      <c r="BA81" s="62"/>
      <c r="BB81" s="7"/>
      <c r="BC81" s="7"/>
      <c r="BD81" s="7"/>
      <c r="BE81" s="7"/>
      <c r="BF81" s="39"/>
      <c r="BG81" s="7"/>
      <c r="BH81" s="62"/>
      <c r="BI81" s="7"/>
      <c r="BJ81" s="32"/>
      <c r="BK81" s="223"/>
    </row>
    <row r="82" spans="1:63" ht="23.25" customHeight="1" x14ac:dyDescent="0.2">
      <c r="A82" s="62">
        <v>81</v>
      </c>
      <c r="B82" s="221"/>
      <c r="C82" s="221"/>
      <c r="D82" s="223"/>
      <c r="E82" s="54" t="s">
        <v>284</v>
      </c>
      <c r="F82" s="16">
        <v>77.071430000000007</v>
      </c>
      <c r="G82" s="8">
        <v>0</v>
      </c>
      <c r="H82" s="8">
        <v>15.78571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17">
        <v>0</v>
      </c>
      <c r="T82" s="8">
        <v>7.1428570000000002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14">
        <f t="shared" si="12"/>
        <v>99.999997000000008</v>
      </c>
      <c r="AE82" s="8">
        <v>0</v>
      </c>
      <c r="AF82" s="8">
        <v>0</v>
      </c>
      <c r="AG82" s="8">
        <v>0</v>
      </c>
      <c r="AH82" s="8">
        <v>0</v>
      </c>
      <c r="AI82" s="39" t="s">
        <v>1531</v>
      </c>
      <c r="AJ82" s="7">
        <v>240</v>
      </c>
      <c r="AK82" s="62">
        <v>1173</v>
      </c>
      <c r="AL82" s="158"/>
      <c r="AM82" s="85"/>
      <c r="AN82" s="85"/>
      <c r="AO82" s="85"/>
      <c r="AP82" s="85"/>
      <c r="AQ82" s="85"/>
      <c r="AR82" s="85"/>
      <c r="AS82" s="85"/>
      <c r="AT82" s="205"/>
      <c r="AU82" s="85"/>
      <c r="AV82" s="196"/>
      <c r="AW82" s="85">
        <v>11.621</v>
      </c>
      <c r="AX82" s="85"/>
      <c r="AY82" s="39"/>
      <c r="AZ82" s="85">
        <v>197</v>
      </c>
      <c r="BA82" s="62"/>
      <c r="BB82" s="7"/>
      <c r="BC82" s="7"/>
      <c r="BD82" s="7"/>
      <c r="BE82" s="7"/>
      <c r="BF82" s="39"/>
      <c r="BG82" s="7"/>
      <c r="BH82" s="62"/>
      <c r="BI82" s="7"/>
      <c r="BJ82" s="32"/>
      <c r="BK82" s="223"/>
    </row>
    <row r="83" spans="1:63" ht="23.25" customHeight="1" x14ac:dyDescent="0.2">
      <c r="A83" s="7">
        <v>82</v>
      </c>
      <c r="B83" s="221"/>
      <c r="C83" s="221"/>
      <c r="D83" s="223"/>
      <c r="E83" s="54" t="s">
        <v>285</v>
      </c>
      <c r="F83" s="16">
        <v>78</v>
      </c>
      <c r="G83" s="8">
        <v>0</v>
      </c>
      <c r="H83" s="8">
        <v>14.857139999999999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17">
        <v>0</v>
      </c>
      <c r="T83" s="8">
        <v>7.1428570000000002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14">
        <f t="shared" si="12"/>
        <v>99.999997000000008</v>
      </c>
      <c r="AE83" s="8">
        <v>0</v>
      </c>
      <c r="AF83" s="8">
        <v>0</v>
      </c>
      <c r="AG83" s="8">
        <v>0</v>
      </c>
      <c r="AH83" s="8">
        <v>0</v>
      </c>
      <c r="AI83" s="39" t="s">
        <v>1531</v>
      </c>
      <c r="AJ83" s="7">
        <v>240</v>
      </c>
      <c r="AK83" s="62">
        <v>1173</v>
      </c>
      <c r="AL83" s="158"/>
      <c r="AM83" s="85"/>
      <c r="AN83" s="85"/>
      <c r="AO83" s="85"/>
      <c r="AP83" s="85"/>
      <c r="AQ83" s="85"/>
      <c r="AR83" s="85"/>
      <c r="AS83" s="85"/>
      <c r="AT83" s="205"/>
      <c r="AU83" s="85"/>
      <c r="AV83" s="196"/>
      <c r="AW83" s="85">
        <v>11.619</v>
      </c>
      <c r="AX83" s="85"/>
      <c r="AY83" s="39"/>
      <c r="AZ83" s="85">
        <v>194</v>
      </c>
      <c r="BA83" s="62"/>
      <c r="BB83" s="7"/>
      <c r="BC83" s="7"/>
      <c r="BD83" s="7"/>
      <c r="BE83" s="7"/>
      <c r="BF83" s="39"/>
      <c r="BG83" s="7"/>
      <c r="BH83" s="62"/>
      <c r="BI83" s="7"/>
      <c r="BJ83" s="32"/>
      <c r="BK83" s="223"/>
    </row>
    <row r="84" spans="1:63" ht="23.25" customHeight="1" x14ac:dyDescent="0.2">
      <c r="A84" s="62">
        <v>83</v>
      </c>
      <c r="B84" s="221"/>
      <c r="C84" s="221"/>
      <c r="D84" s="223"/>
      <c r="E84" s="54" t="s">
        <v>286</v>
      </c>
      <c r="F84" s="16">
        <f>0.86*13/14*100</f>
        <v>79.857142857142861</v>
      </c>
      <c r="G84" s="8">
        <v>0</v>
      </c>
      <c r="H84" s="8">
        <v>13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17">
        <v>0</v>
      </c>
      <c r="T84" s="8">
        <v>7.1428570000000002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14">
        <f t="shared" si="12"/>
        <v>99.999999857142868</v>
      </c>
      <c r="AE84" s="8">
        <v>0</v>
      </c>
      <c r="AF84" s="8">
        <v>0</v>
      </c>
      <c r="AG84" s="8">
        <v>0</v>
      </c>
      <c r="AH84" s="8">
        <v>0</v>
      </c>
      <c r="AI84" s="39" t="s">
        <v>1531</v>
      </c>
      <c r="AJ84" s="7">
        <v>240</v>
      </c>
      <c r="AK84" s="62">
        <v>1173</v>
      </c>
      <c r="AL84" s="158"/>
      <c r="AM84" s="85"/>
      <c r="AN84" s="85"/>
      <c r="AO84" s="85"/>
      <c r="AP84" s="85"/>
      <c r="AQ84" s="85"/>
      <c r="AR84" s="85"/>
      <c r="AS84" s="85"/>
      <c r="AT84" s="205"/>
      <c r="AU84" s="85"/>
      <c r="AV84" s="196"/>
      <c r="AW84" s="85"/>
      <c r="AX84" s="85"/>
      <c r="AY84" s="39"/>
      <c r="AZ84" s="85">
        <v>168</v>
      </c>
      <c r="BA84" s="62"/>
      <c r="BB84" s="7"/>
      <c r="BC84" s="7"/>
      <c r="BD84" s="7"/>
      <c r="BE84" s="7"/>
      <c r="BF84" s="39"/>
      <c r="BG84" s="7"/>
      <c r="BH84" s="62"/>
      <c r="BI84" s="7"/>
      <c r="BJ84" s="32"/>
      <c r="BK84" s="223"/>
    </row>
    <row r="85" spans="1:63" ht="23.25" customHeight="1" x14ac:dyDescent="0.2">
      <c r="A85" s="7">
        <v>84</v>
      </c>
      <c r="B85" s="221"/>
      <c r="C85" s="221"/>
      <c r="D85" s="223"/>
      <c r="E85" s="54" t="s">
        <v>227</v>
      </c>
      <c r="F85" s="16">
        <v>80.785709999999995</v>
      </c>
      <c r="G85" s="8">
        <v>0</v>
      </c>
      <c r="H85" s="8">
        <v>12.071429999999999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17">
        <v>0</v>
      </c>
      <c r="T85" s="8">
        <v>7.1428570000000002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14">
        <f t="shared" si="12"/>
        <v>99.999996999999993</v>
      </c>
      <c r="AE85" s="8">
        <v>0</v>
      </c>
      <c r="AF85" s="8">
        <v>0</v>
      </c>
      <c r="AG85" s="8">
        <v>0</v>
      </c>
      <c r="AH85" s="8">
        <v>0</v>
      </c>
      <c r="AI85" s="39" t="s">
        <v>1531</v>
      </c>
      <c r="AJ85" s="7">
        <v>240</v>
      </c>
      <c r="AK85" s="62">
        <v>1173</v>
      </c>
      <c r="AL85" s="158"/>
      <c r="AM85" s="85"/>
      <c r="AN85" s="85"/>
      <c r="AO85" s="85"/>
      <c r="AP85" s="85"/>
      <c r="AQ85" s="85"/>
      <c r="AR85" s="85"/>
      <c r="AS85" s="85"/>
      <c r="AT85" s="205"/>
      <c r="AU85" s="85"/>
      <c r="AV85" s="196"/>
      <c r="AW85" s="85"/>
      <c r="AX85" s="85"/>
      <c r="AY85" s="39"/>
      <c r="AZ85" s="85">
        <v>187</v>
      </c>
      <c r="BA85" s="62"/>
      <c r="BB85" s="7"/>
      <c r="BC85" s="7"/>
      <c r="BD85" s="7"/>
      <c r="BE85" s="7"/>
      <c r="BF85" s="39"/>
      <c r="BG85" s="7"/>
      <c r="BH85" s="62"/>
      <c r="BI85" s="7"/>
      <c r="BJ85" s="32"/>
      <c r="BK85" s="223"/>
    </row>
    <row r="86" spans="1:63" ht="23.25" customHeight="1" x14ac:dyDescent="0.2">
      <c r="A86" s="62">
        <v>85</v>
      </c>
      <c r="B86" s="221"/>
      <c r="C86" s="221"/>
      <c r="D86" s="223"/>
      <c r="E86" s="54" t="s">
        <v>229</v>
      </c>
      <c r="F86" s="16">
        <v>81.714290000000005</v>
      </c>
      <c r="G86" s="8">
        <v>0</v>
      </c>
      <c r="H86" s="8">
        <v>11.142860000000001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17">
        <v>0</v>
      </c>
      <c r="T86" s="8">
        <v>7.1428570000000002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14">
        <f t="shared" si="12"/>
        <v>100.00000700000001</v>
      </c>
      <c r="AE86" s="8">
        <v>0</v>
      </c>
      <c r="AF86" s="8">
        <v>0</v>
      </c>
      <c r="AG86" s="8">
        <v>0</v>
      </c>
      <c r="AH86" s="8">
        <v>0</v>
      </c>
      <c r="AI86" s="39" t="s">
        <v>1531</v>
      </c>
      <c r="AJ86" s="7">
        <v>240</v>
      </c>
      <c r="AK86" s="62">
        <v>1173</v>
      </c>
      <c r="AL86" s="158"/>
      <c r="AM86" s="85"/>
      <c r="AN86" s="85"/>
      <c r="AO86" s="85"/>
      <c r="AP86" s="85"/>
      <c r="AQ86" s="85"/>
      <c r="AR86" s="85"/>
      <c r="AS86" s="85"/>
      <c r="AT86" s="205"/>
      <c r="AU86" s="85"/>
      <c r="AV86" s="196"/>
      <c r="AW86" s="85">
        <v>11.585000000000001</v>
      </c>
      <c r="AX86" s="85"/>
      <c r="AY86" s="39"/>
      <c r="AZ86" s="85">
        <v>200</v>
      </c>
      <c r="BA86" s="62"/>
      <c r="BB86" s="7"/>
      <c r="BC86" s="7"/>
      <c r="BD86" s="7"/>
      <c r="BE86" s="7"/>
      <c r="BF86" s="39"/>
      <c r="BG86" s="7"/>
      <c r="BH86" s="62"/>
      <c r="BI86" s="7"/>
      <c r="BJ86" s="32"/>
      <c r="BK86" s="223"/>
    </row>
    <row r="87" spans="1:63" ht="23.25" customHeight="1" x14ac:dyDescent="0.2">
      <c r="A87" s="7">
        <v>86</v>
      </c>
      <c r="B87" s="221"/>
      <c r="C87" s="221"/>
      <c r="D87" s="223"/>
      <c r="E87" s="54" t="s">
        <v>230</v>
      </c>
      <c r="F87" s="16">
        <v>82.642859999999999</v>
      </c>
      <c r="G87" s="8">
        <v>0</v>
      </c>
      <c r="H87" s="8">
        <v>10.21429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17">
        <v>0</v>
      </c>
      <c r="T87" s="8">
        <v>7.1428570000000002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14">
        <f t="shared" si="12"/>
        <v>100.00000700000001</v>
      </c>
      <c r="AE87" s="8">
        <v>0</v>
      </c>
      <c r="AF87" s="8">
        <v>0</v>
      </c>
      <c r="AG87" s="8">
        <v>0</v>
      </c>
      <c r="AH87" s="8">
        <v>0</v>
      </c>
      <c r="AI87" s="39" t="s">
        <v>1531</v>
      </c>
      <c r="AJ87" s="7">
        <v>240</v>
      </c>
      <c r="AK87" s="62">
        <v>1173</v>
      </c>
      <c r="AL87" s="158"/>
      <c r="AM87" s="85"/>
      <c r="AN87" s="85"/>
      <c r="AO87" s="85"/>
      <c r="AP87" s="85"/>
      <c r="AQ87" s="85"/>
      <c r="AR87" s="85"/>
      <c r="AS87" s="85"/>
      <c r="AT87" s="205"/>
      <c r="AU87" s="85"/>
      <c r="AV87" s="196"/>
      <c r="AW87" s="85"/>
      <c r="AX87" s="85"/>
      <c r="AY87" s="39"/>
      <c r="AZ87" s="85">
        <v>207</v>
      </c>
      <c r="BA87" s="62"/>
      <c r="BB87" s="7"/>
      <c r="BC87" s="7"/>
      <c r="BD87" s="7"/>
      <c r="BE87" s="7"/>
      <c r="BF87" s="39"/>
      <c r="BG87" s="7"/>
      <c r="BH87" s="62"/>
      <c r="BI87" s="7"/>
      <c r="BJ87" s="32"/>
      <c r="BK87" s="223"/>
    </row>
    <row r="88" spans="1:63" ht="23.25" customHeight="1" x14ac:dyDescent="0.2">
      <c r="A88" s="62">
        <v>87</v>
      </c>
      <c r="B88" s="221"/>
      <c r="C88" s="221"/>
      <c r="D88" s="223"/>
      <c r="E88" s="54" t="s">
        <v>240</v>
      </c>
      <c r="F88" s="16">
        <v>83.571430000000007</v>
      </c>
      <c r="G88" s="8">
        <v>0</v>
      </c>
      <c r="H88" s="8">
        <v>9.2857140000000005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17">
        <v>0</v>
      </c>
      <c r="T88" s="8">
        <v>7.1428570000000002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14">
        <f t="shared" si="12"/>
        <v>100.00000100000001</v>
      </c>
      <c r="AE88" s="8">
        <v>0</v>
      </c>
      <c r="AF88" s="8">
        <v>0</v>
      </c>
      <c r="AG88" s="8">
        <v>0</v>
      </c>
      <c r="AH88" s="8">
        <v>0</v>
      </c>
      <c r="AI88" s="39" t="s">
        <v>1531</v>
      </c>
      <c r="AJ88" s="7">
        <v>240</v>
      </c>
      <c r="AK88" s="62">
        <v>1173</v>
      </c>
      <c r="AL88" s="158"/>
      <c r="AM88" s="85"/>
      <c r="AN88" s="85"/>
      <c r="AO88" s="85"/>
      <c r="AP88" s="85"/>
      <c r="AQ88" s="85"/>
      <c r="AR88" s="85"/>
      <c r="AS88" s="85"/>
      <c r="AT88" s="205"/>
      <c r="AU88" s="85"/>
      <c r="AV88" s="196"/>
      <c r="AW88" s="85">
        <v>11.566000000000001</v>
      </c>
      <c r="AX88" s="85"/>
      <c r="AY88" s="39"/>
      <c r="AZ88" s="85">
        <v>214</v>
      </c>
      <c r="BA88" s="62"/>
      <c r="BB88" s="7"/>
      <c r="BC88" s="7"/>
      <c r="BD88" s="7"/>
      <c r="BE88" s="7"/>
      <c r="BF88" s="39"/>
      <c r="BG88" s="7"/>
      <c r="BH88" s="62"/>
      <c r="BI88" s="7"/>
      <c r="BJ88" s="32"/>
      <c r="BK88" s="223"/>
    </row>
    <row r="89" spans="1:63" ht="23.25" customHeight="1" x14ac:dyDescent="0.2">
      <c r="A89" s="7">
        <v>88</v>
      </c>
      <c r="B89" s="221"/>
      <c r="C89" s="221"/>
      <c r="D89" s="223"/>
      <c r="E89" s="54" t="s">
        <v>287</v>
      </c>
      <c r="F89" s="16">
        <v>84.5</v>
      </c>
      <c r="G89" s="8">
        <v>0</v>
      </c>
      <c r="H89" s="8">
        <v>8.3571430000000007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17">
        <v>0</v>
      </c>
      <c r="T89" s="8">
        <v>7.1428570000000002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14">
        <f t="shared" si="12"/>
        <v>100.00000000000001</v>
      </c>
      <c r="AE89" s="8">
        <v>0</v>
      </c>
      <c r="AF89" s="8">
        <v>0</v>
      </c>
      <c r="AG89" s="8">
        <v>0</v>
      </c>
      <c r="AH89" s="8">
        <v>0</v>
      </c>
      <c r="AI89" s="39" t="s">
        <v>1531</v>
      </c>
      <c r="AJ89" s="7">
        <v>240</v>
      </c>
      <c r="AK89" s="62">
        <v>1173</v>
      </c>
      <c r="AL89" s="158"/>
      <c r="AM89" s="85"/>
      <c r="AN89" s="85"/>
      <c r="AO89" s="85"/>
      <c r="AP89" s="85"/>
      <c r="AQ89" s="85"/>
      <c r="AR89" s="85"/>
      <c r="AS89" s="85"/>
      <c r="AT89" s="205"/>
      <c r="AU89" s="85"/>
      <c r="AV89" s="196"/>
      <c r="AW89" s="85"/>
      <c r="AX89" s="85"/>
      <c r="AY89" s="39"/>
      <c r="AZ89" s="85">
        <v>221</v>
      </c>
      <c r="BA89" s="62"/>
      <c r="BB89" s="7"/>
      <c r="BC89" s="7"/>
      <c r="BD89" s="7"/>
      <c r="BE89" s="7"/>
      <c r="BF89" s="39"/>
      <c r="BG89" s="7"/>
      <c r="BH89" s="62"/>
      <c r="BI89" s="7"/>
      <c r="BJ89" s="32"/>
      <c r="BK89" s="223"/>
    </row>
    <row r="90" spans="1:63" ht="23.25" customHeight="1" thickBot="1" x14ac:dyDescent="0.25">
      <c r="A90" s="62">
        <v>89</v>
      </c>
      <c r="B90" s="221"/>
      <c r="C90" s="221"/>
      <c r="D90" s="224"/>
      <c r="E90" s="54" t="s">
        <v>288</v>
      </c>
      <c r="F90" s="16">
        <v>85.428569999999993</v>
      </c>
      <c r="G90" s="8">
        <v>0</v>
      </c>
      <c r="H90" s="8">
        <v>7.4285709999999998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17">
        <v>0</v>
      </c>
      <c r="T90" s="8">
        <v>7.1428570000000002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14">
        <f t="shared" si="12"/>
        <v>99.999998000000005</v>
      </c>
      <c r="AE90" s="8">
        <v>0</v>
      </c>
      <c r="AF90" s="8">
        <v>0</v>
      </c>
      <c r="AG90" s="8">
        <v>0</v>
      </c>
      <c r="AH90" s="8">
        <v>0</v>
      </c>
      <c r="AI90" s="39" t="s">
        <v>1531</v>
      </c>
      <c r="AJ90" s="7">
        <v>240</v>
      </c>
      <c r="AK90" s="62">
        <v>1173</v>
      </c>
      <c r="AL90" s="158"/>
      <c r="AM90" s="85"/>
      <c r="AN90" s="85"/>
      <c r="AO90" s="85"/>
      <c r="AP90" s="85"/>
      <c r="AQ90" s="85"/>
      <c r="AR90" s="85"/>
      <c r="AS90" s="85"/>
      <c r="AT90" s="205"/>
      <c r="AU90" s="85"/>
      <c r="AV90" s="196"/>
      <c r="AW90" s="85">
        <v>11.548999999999999</v>
      </c>
      <c r="AX90" s="85"/>
      <c r="AY90" s="39"/>
      <c r="AZ90" s="85">
        <v>222</v>
      </c>
      <c r="BA90" s="62"/>
      <c r="BB90" s="7"/>
      <c r="BC90" s="7"/>
      <c r="BD90" s="7"/>
      <c r="BE90" s="7"/>
      <c r="BF90" s="39"/>
      <c r="BG90" s="7"/>
      <c r="BH90" s="62"/>
      <c r="BI90" s="7"/>
      <c r="BJ90" s="32"/>
      <c r="BK90" s="223"/>
    </row>
    <row r="91" spans="1:63" s="4" customFormat="1" ht="23.25" customHeight="1" x14ac:dyDescent="0.2">
      <c r="A91" s="7">
        <v>90</v>
      </c>
      <c r="B91" s="218" t="s">
        <v>1534</v>
      </c>
      <c r="C91" s="218" t="s">
        <v>1535</v>
      </c>
      <c r="D91" s="12" t="s">
        <v>19</v>
      </c>
      <c r="E91" s="12"/>
      <c r="F91" s="87">
        <v>77.739999999999995</v>
      </c>
      <c r="G91" s="88">
        <v>0</v>
      </c>
      <c r="H91" s="88">
        <v>8.3571430000000007</v>
      </c>
      <c r="I91" s="88">
        <v>0</v>
      </c>
      <c r="J91" s="88">
        <f>0.08*11.83/14*100</f>
        <v>6.7600000000000007</v>
      </c>
      <c r="K91" s="88">
        <v>0</v>
      </c>
      <c r="L91" s="88">
        <v>0</v>
      </c>
      <c r="M91" s="88">
        <v>0</v>
      </c>
      <c r="N91" s="88">
        <v>0</v>
      </c>
      <c r="O91" s="88">
        <v>0</v>
      </c>
      <c r="P91" s="88">
        <v>0</v>
      </c>
      <c r="Q91" s="88">
        <v>0</v>
      </c>
      <c r="R91" s="88">
        <v>0</v>
      </c>
      <c r="S91" s="89">
        <v>0</v>
      </c>
      <c r="T91" s="88">
        <v>7.1428570000000002</v>
      </c>
      <c r="U91" s="88">
        <v>0</v>
      </c>
      <c r="V91" s="88">
        <v>0</v>
      </c>
      <c r="W91" s="88">
        <v>0</v>
      </c>
      <c r="X91" s="88">
        <v>0</v>
      </c>
      <c r="Y91" s="88">
        <v>0</v>
      </c>
      <c r="Z91" s="88">
        <v>0</v>
      </c>
      <c r="AA91" s="88">
        <v>0</v>
      </c>
      <c r="AB91" s="88">
        <v>0</v>
      </c>
      <c r="AC91" s="88">
        <v>0</v>
      </c>
      <c r="AD91" s="90">
        <f t="shared" si="12"/>
        <v>100</v>
      </c>
      <c r="AE91" s="88">
        <v>0</v>
      </c>
      <c r="AF91" s="88">
        <v>0</v>
      </c>
      <c r="AG91" s="88">
        <v>0</v>
      </c>
      <c r="AH91" s="88">
        <v>0</v>
      </c>
      <c r="AI91" s="156" t="s">
        <v>1531</v>
      </c>
      <c r="AJ91" s="45"/>
      <c r="AK91" s="91"/>
      <c r="AL91" s="197"/>
      <c r="AM91" s="189"/>
      <c r="AN91" s="189"/>
      <c r="AO91" s="189"/>
      <c r="AP91" s="189"/>
      <c r="AQ91" s="189"/>
      <c r="AR91" s="189"/>
      <c r="AS91" s="189"/>
      <c r="AT91" s="198"/>
      <c r="AU91" s="189"/>
      <c r="AV91" s="199"/>
      <c r="AW91" s="189"/>
      <c r="AX91" s="189"/>
      <c r="AY91" s="156"/>
      <c r="AZ91" s="45">
        <v>303</v>
      </c>
      <c r="BA91" s="91"/>
      <c r="BB91" s="45"/>
      <c r="BC91" s="45"/>
      <c r="BD91" s="45"/>
      <c r="BE91" s="45"/>
      <c r="BF91" s="156"/>
      <c r="BG91" s="45"/>
      <c r="BH91" s="91"/>
      <c r="BI91" s="45"/>
      <c r="BJ91" s="67"/>
      <c r="BK91" s="225"/>
    </row>
    <row r="92" spans="1:63" ht="23.25" customHeight="1" x14ac:dyDescent="0.2">
      <c r="A92" s="62">
        <v>91</v>
      </c>
      <c r="B92" s="221"/>
      <c r="C92" s="221"/>
      <c r="D92" s="54" t="s">
        <v>15</v>
      </c>
      <c r="E92" s="54"/>
      <c r="F92" s="16">
        <f>10.8/14*100</f>
        <v>77.142857142857153</v>
      </c>
      <c r="G92" s="8">
        <v>15.71429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17">
        <v>0</v>
      </c>
      <c r="T92" s="8">
        <v>7.1428570000000002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14">
        <f t="shared" si="12"/>
        <v>100.00000414285716</v>
      </c>
      <c r="AE92" s="8">
        <v>0</v>
      </c>
      <c r="AF92" s="8">
        <v>0</v>
      </c>
      <c r="AG92" s="8">
        <v>0</v>
      </c>
      <c r="AH92" s="8">
        <v>0</v>
      </c>
      <c r="AI92" s="39" t="s">
        <v>1531</v>
      </c>
      <c r="AJ92" s="7"/>
      <c r="AK92" s="62"/>
      <c r="AL92" s="158"/>
      <c r="AM92" s="85"/>
      <c r="AN92" s="85"/>
      <c r="AO92" s="85"/>
      <c r="AP92" s="85"/>
      <c r="AQ92" s="85"/>
      <c r="AR92" s="85"/>
      <c r="AS92" s="85"/>
      <c r="AT92" s="205"/>
      <c r="AU92" s="85"/>
      <c r="AV92" s="196"/>
      <c r="AW92" s="85"/>
      <c r="AX92" s="85"/>
      <c r="AY92" s="39"/>
      <c r="AZ92" s="7">
        <v>242</v>
      </c>
      <c r="BA92" s="62"/>
      <c r="BB92" s="7"/>
      <c r="BC92" s="7"/>
      <c r="BD92" s="7"/>
      <c r="BE92" s="7"/>
      <c r="BF92" s="39"/>
      <c r="BG92" s="7"/>
      <c r="BH92" s="62"/>
      <c r="BI92" s="7"/>
      <c r="BJ92" s="32"/>
      <c r="BK92" s="223"/>
    </row>
    <row r="93" spans="1:63" s="6" customFormat="1" ht="23.25" customHeight="1" thickBot="1" x14ac:dyDescent="0.25">
      <c r="A93" s="7">
        <v>92</v>
      </c>
      <c r="B93" s="222"/>
      <c r="C93" s="222"/>
      <c r="D93" s="13" t="s">
        <v>20</v>
      </c>
      <c r="E93" s="13"/>
      <c r="F93" s="80">
        <f>11/14*100</f>
        <v>78.571428571428569</v>
      </c>
      <c r="G93" s="81">
        <v>0</v>
      </c>
      <c r="H93" s="81">
        <f>2/14*100</f>
        <v>14.285714285714285</v>
      </c>
      <c r="I93" s="81">
        <v>0</v>
      </c>
      <c r="J93" s="81">
        <v>0</v>
      </c>
      <c r="K93" s="81">
        <v>0</v>
      </c>
      <c r="L93" s="81">
        <v>0</v>
      </c>
      <c r="M93" s="81">
        <v>0</v>
      </c>
      <c r="N93" s="81">
        <v>0</v>
      </c>
      <c r="O93" s="81">
        <v>0</v>
      </c>
      <c r="P93" s="81">
        <v>0</v>
      </c>
      <c r="Q93" s="81">
        <v>0</v>
      </c>
      <c r="R93" s="81">
        <v>0</v>
      </c>
      <c r="S93" s="82">
        <v>0</v>
      </c>
      <c r="T93" s="81">
        <v>7.1428570000000002</v>
      </c>
      <c r="U93" s="81">
        <v>0</v>
      </c>
      <c r="V93" s="81">
        <v>0</v>
      </c>
      <c r="W93" s="81">
        <v>0</v>
      </c>
      <c r="X93" s="81">
        <v>0</v>
      </c>
      <c r="Y93" s="81">
        <v>0</v>
      </c>
      <c r="Z93" s="81">
        <v>0</v>
      </c>
      <c r="AA93" s="81">
        <v>0</v>
      </c>
      <c r="AB93" s="81">
        <v>0</v>
      </c>
      <c r="AC93" s="81">
        <v>0</v>
      </c>
      <c r="AD93" s="83">
        <f t="shared" si="12"/>
        <v>99.999999857142868</v>
      </c>
      <c r="AE93" s="81">
        <v>0</v>
      </c>
      <c r="AF93" s="81">
        <f>0.5/14*100</f>
        <v>3.5714285714285712</v>
      </c>
      <c r="AG93" s="81">
        <v>0</v>
      </c>
      <c r="AH93" s="81">
        <v>0</v>
      </c>
      <c r="AI93" s="79" t="s">
        <v>1531</v>
      </c>
      <c r="AJ93" s="65"/>
      <c r="AK93" s="78"/>
      <c r="AL93" s="200"/>
      <c r="AM93" s="190"/>
      <c r="AN93" s="190"/>
      <c r="AO93" s="190"/>
      <c r="AP93" s="190"/>
      <c r="AQ93" s="190"/>
      <c r="AR93" s="190"/>
      <c r="AS93" s="190"/>
      <c r="AT93" s="201"/>
      <c r="AU93" s="190"/>
      <c r="AV93" s="202"/>
      <c r="AW93" s="190"/>
      <c r="AX93" s="190"/>
      <c r="AY93" s="79"/>
      <c r="AZ93" s="65">
        <v>291</v>
      </c>
      <c r="BA93" s="78"/>
      <c r="BB93" s="65"/>
      <c r="BC93" s="65"/>
      <c r="BD93" s="65"/>
      <c r="BE93" s="65"/>
      <c r="BF93" s="79"/>
      <c r="BG93" s="65"/>
      <c r="BH93" s="78"/>
      <c r="BI93" s="65"/>
      <c r="BJ93" s="68"/>
      <c r="BK93" s="224"/>
    </row>
    <row r="94" spans="1:63" ht="23.25" customHeight="1" x14ac:dyDescent="0.2">
      <c r="A94" s="62">
        <v>93</v>
      </c>
      <c r="B94" s="221">
        <v>9</v>
      </c>
      <c r="C94" s="221" t="s">
        <v>1585</v>
      </c>
      <c r="D94" s="223" t="s">
        <v>290</v>
      </c>
      <c r="E94" s="54" t="s">
        <v>249</v>
      </c>
      <c r="F94" s="16">
        <f>(11.5-0.2)/14*100</f>
        <v>80.714285714285722</v>
      </c>
      <c r="G94" s="8">
        <v>10.71428571</v>
      </c>
      <c r="H94" s="8">
        <v>0</v>
      </c>
      <c r="I94" s="8">
        <v>0</v>
      </c>
      <c r="J94" s="8">
        <v>1.4285714199999999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17">
        <v>0</v>
      </c>
      <c r="T94" s="8">
        <v>7.1428570000000002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14">
        <f t="shared" si="12"/>
        <v>99.999999844285725</v>
      </c>
      <c r="AE94" s="8">
        <v>0</v>
      </c>
      <c r="AF94" s="8">
        <v>0</v>
      </c>
      <c r="AG94" s="8">
        <v>0</v>
      </c>
      <c r="AH94" s="8">
        <v>0</v>
      </c>
      <c r="AI94" s="39" t="s">
        <v>1531</v>
      </c>
      <c r="AJ94" s="7">
        <v>720</v>
      </c>
      <c r="AK94" s="62">
        <v>1323</v>
      </c>
      <c r="AL94" s="158"/>
      <c r="AM94" s="85"/>
      <c r="AN94" s="85"/>
      <c r="AO94" s="85"/>
      <c r="AP94" s="85"/>
      <c r="AQ94" s="85"/>
      <c r="AR94" s="85"/>
      <c r="AS94" s="85"/>
      <c r="AT94" s="205"/>
      <c r="AU94" s="85"/>
      <c r="AV94" s="196"/>
      <c r="AW94" s="85"/>
      <c r="AX94" s="85"/>
      <c r="AY94" s="39">
        <v>0.3</v>
      </c>
      <c r="AZ94" s="7">
        <v>220</v>
      </c>
      <c r="BA94" s="62"/>
      <c r="BB94" s="7"/>
      <c r="BC94" s="7"/>
      <c r="BD94" s="7"/>
      <c r="BE94" s="7"/>
      <c r="BF94" s="39"/>
      <c r="BG94" s="7"/>
      <c r="BH94" s="62"/>
      <c r="BI94" s="7"/>
      <c r="BJ94" s="32"/>
      <c r="BK94" s="223"/>
    </row>
    <row r="95" spans="1:63" ht="23.25" customHeight="1" x14ac:dyDescent="0.2">
      <c r="A95" s="7">
        <v>94</v>
      </c>
      <c r="B95" s="221"/>
      <c r="C95" s="221"/>
      <c r="D95" s="223"/>
      <c r="E95" s="54" t="s">
        <v>243</v>
      </c>
      <c r="F95" s="16">
        <v>79.285709999999995</v>
      </c>
      <c r="G95" s="8">
        <v>10.71429</v>
      </c>
      <c r="H95" s="8">
        <v>0</v>
      </c>
      <c r="I95" s="8">
        <v>0</v>
      </c>
      <c r="J95" s="8">
        <v>2.8571430000000002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17">
        <v>0</v>
      </c>
      <c r="T95" s="8">
        <v>7.1428570000000002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14">
        <f t="shared" si="12"/>
        <v>100</v>
      </c>
      <c r="AE95" s="8">
        <v>0</v>
      </c>
      <c r="AF95" s="8">
        <v>0</v>
      </c>
      <c r="AG95" s="8">
        <v>0</v>
      </c>
      <c r="AH95" s="8">
        <v>0</v>
      </c>
      <c r="AI95" s="39" t="s">
        <v>1531</v>
      </c>
      <c r="AJ95" s="7">
        <v>720</v>
      </c>
      <c r="AK95" s="62">
        <v>1323</v>
      </c>
      <c r="AL95" s="158"/>
      <c r="AM95" s="85"/>
      <c r="AN95" s="85"/>
      <c r="AO95" s="85"/>
      <c r="AP95" s="85"/>
      <c r="AQ95" s="85"/>
      <c r="AR95" s="85"/>
      <c r="AS95" s="85"/>
      <c r="AT95" s="205"/>
      <c r="AU95" s="85"/>
      <c r="AV95" s="196"/>
      <c r="AW95" s="85"/>
      <c r="AX95" s="85"/>
      <c r="AY95" s="39">
        <v>0.3</v>
      </c>
      <c r="AZ95" s="7">
        <v>242</v>
      </c>
      <c r="BA95" s="62"/>
      <c r="BB95" s="7"/>
      <c r="BC95" s="7"/>
      <c r="BD95" s="7"/>
      <c r="BE95" s="7"/>
      <c r="BF95" s="39"/>
      <c r="BG95" s="7"/>
      <c r="BH95" s="62"/>
      <c r="BI95" s="7"/>
      <c r="BJ95" s="32"/>
      <c r="BK95" s="223"/>
    </row>
    <row r="96" spans="1:63" ht="23.25" customHeight="1" x14ac:dyDescent="0.2">
      <c r="A96" s="62">
        <v>95</v>
      </c>
      <c r="B96" s="221"/>
      <c r="C96" s="221"/>
      <c r="D96" s="223"/>
      <c r="E96" s="54" t="s">
        <v>245</v>
      </c>
      <c r="F96" s="16">
        <v>77.857140000000001</v>
      </c>
      <c r="G96" s="8">
        <v>10.71429</v>
      </c>
      <c r="H96" s="8">
        <v>0</v>
      </c>
      <c r="I96" s="8">
        <v>0</v>
      </c>
      <c r="J96" s="8">
        <v>4.2857139999999996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17">
        <v>0</v>
      </c>
      <c r="T96" s="8">
        <v>7.1428570000000002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14">
        <f t="shared" si="12"/>
        <v>100.00000100000001</v>
      </c>
      <c r="AE96" s="8">
        <v>0</v>
      </c>
      <c r="AF96" s="8">
        <v>0</v>
      </c>
      <c r="AG96" s="8">
        <v>0</v>
      </c>
      <c r="AH96" s="8">
        <v>0</v>
      </c>
      <c r="AI96" s="39" t="s">
        <v>1531</v>
      </c>
      <c r="AJ96" s="7">
        <v>720</v>
      </c>
      <c r="AK96" s="62">
        <v>1323</v>
      </c>
      <c r="AL96" s="158"/>
      <c r="AM96" s="85"/>
      <c r="AN96" s="85"/>
      <c r="AO96" s="85"/>
      <c r="AP96" s="85"/>
      <c r="AQ96" s="85"/>
      <c r="AR96" s="85"/>
      <c r="AS96" s="85"/>
      <c r="AT96" s="205"/>
      <c r="AU96" s="85"/>
      <c r="AV96" s="196"/>
      <c r="AW96" s="85"/>
      <c r="AX96" s="85"/>
      <c r="AY96" s="39">
        <v>0.3</v>
      </c>
      <c r="AZ96" s="7">
        <v>263</v>
      </c>
      <c r="BA96" s="62"/>
      <c r="BB96" s="7"/>
      <c r="BC96" s="7"/>
      <c r="BD96" s="7"/>
      <c r="BE96" s="7"/>
      <c r="BF96" s="39"/>
      <c r="BG96" s="7"/>
      <c r="BH96" s="62"/>
      <c r="BI96" s="7"/>
      <c r="BJ96" s="32"/>
      <c r="BK96" s="223"/>
    </row>
    <row r="97" spans="1:63" ht="23.25" customHeight="1" x14ac:dyDescent="0.2">
      <c r="A97" s="7">
        <v>96</v>
      </c>
      <c r="B97" s="221"/>
      <c r="C97" s="221"/>
      <c r="D97" s="223"/>
      <c r="E97" s="54" t="s">
        <v>267</v>
      </c>
      <c r="F97" s="16">
        <v>76.428569999999993</v>
      </c>
      <c r="G97" s="8">
        <v>10.71429</v>
      </c>
      <c r="H97" s="8">
        <v>0</v>
      </c>
      <c r="I97" s="8">
        <v>0</v>
      </c>
      <c r="J97" s="8">
        <v>5.7142860000000004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17">
        <v>0</v>
      </c>
      <c r="T97" s="8">
        <v>7.1428570000000002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14">
        <f t="shared" si="12"/>
        <v>100.00000300000001</v>
      </c>
      <c r="AE97" s="8">
        <v>0</v>
      </c>
      <c r="AF97" s="8">
        <v>0</v>
      </c>
      <c r="AG97" s="8">
        <v>0</v>
      </c>
      <c r="AH97" s="8">
        <v>0</v>
      </c>
      <c r="AI97" s="39" t="s">
        <v>1531</v>
      </c>
      <c r="AJ97" s="7">
        <v>720</v>
      </c>
      <c r="AK97" s="62">
        <v>1323</v>
      </c>
      <c r="AL97" s="158"/>
      <c r="AM97" s="85"/>
      <c r="AN97" s="85"/>
      <c r="AO97" s="85"/>
      <c r="AP97" s="85"/>
      <c r="AQ97" s="85"/>
      <c r="AR97" s="85"/>
      <c r="AS97" s="85"/>
      <c r="AT97" s="205"/>
      <c r="AU97" s="85"/>
      <c r="AV97" s="196"/>
      <c r="AW97" s="85"/>
      <c r="AX97" s="85"/>
      <c r="AY97" s="39">
        <v>0.3</v>
      </c>
      <c r="AZ97" s="7">
        <v>288</v>
      </c>
      <c r="BA97" s="62"/>
      <c r="BB97" s="7"/>
      <c r="BC97" s="7"/>
      <c r="BD97" s="7"/>
      <c r="BE97" s="7"/>
      <c r="BF97" s="39"/>
      <c r="BG97" s="7"/>
      <c r="BH97" s="62"/>
      <c r="BI97" s="7"/>
      <c r="BJ97" s="32"/>
      <c r="BK97" s="223"/>
    </row>
    <row r="98" spans="1:63" ht="23.25" customHeight="1" thickBot="1" x14ac:dyDescent="0.25">
      <c r="A98" s="62">
        <v>97</v>
      </c>
      <c r="B98" s="221"/>
      <c r="C98" s="221"/>
      <c r="D98" s="224"/>
      <c r="E98" s="54" t="s">
        <v>272</v>
      </c>
      <c r="F98" s="16">
        <v>75</v>
      </c>
      <c r="G98" s="8">
        <v>10.71429</v>
      </c>
      <c r="H98" s="8">
        <v>0</v>
      </c>
      <c r="I98" s="8">
        <v>0</v>
      </c>
      <c r="J98" s="8">
        <v>7.1428570000000002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17">
        <v>0</v>
      </c>
      <c r="T98" s="8">
        <v>7.1428570000000002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14">
        <f t="shared" si="12"/>
        <v>100.00000400000002</v>
      </c>
      <c r="AE98" s="8">
        <v>0</v>
      </c>
      <c r="AF98" s="8">
        <v>0</v>
      </c>
      <c r="AG98" s="8">
        <v>0</v>
      </c>
      <c r="AH98" s="8">
        <v>0</v>
      </c>
      <c r="AI98" s="39" t="s">
        <v>1531</v>
      </c>
      <c r="AJ98" s="7">
        <v>720</v>
      </c>
      <c r="AK98" s="62">
        <v>1323</v>
      </c>
      <c r="AL98" s="158"/>
      <c r="AM98" s="85"/>
      <c r="AN98" s="85"/>
      <c r="AO98" s="85"/>
      <c r="AP98" s="85"/>
      <c r="AQ98" s="85"/>
      <c r="AR98" s="85"/>
      <c r="AS98" s="85"/>
      <c r="AT98" s="205"/>
      <c r="AU98" s="85"/>
      <c r="AV98" s="196"/>
      <c r="AW98" s="85"/>
      <c r="AX98" s="85"/>
      <c r="AY98" s="39">
        <v>0.3</v>
      </c>
      <c r="AZ98" s="7">
        <v>302</v>
      </c>
      <c r="BA98" s="62"/>
      <c r="BB98" s="7"/>
      <c r="BC98" s="7"/>
      <c r="BD98" s="7"/>
      <c r="BE98" s="7"/>
      <c r="BF98" s="39"/>
      <c r="BG98" s="7"/>
      <c r="BH98" s="62"/>
      <c r="BI98" s="7"/>
      <c r="BJ98" s="32"/>
      <c r="BK98" s="223"/>
    </row>
    <row r="99" spans="1:63" s="4" customFormat="1" ht="23.25" customHeight="1" x14ac:dyDescent="0.2">
      <c r="A99" s="7">
        <v>98</v>
      </c>
      <c r="B99" s="238">
        <v>12</v>
      </c>
      <c r="C99" s="238" t="s">
        <v>1584</v>
      </c>
      <c r="D99" s="12" t="s">
        <v>21</v>
      </c>
      <c r="E99" s="12"/>
      <c r="F99" s="87">
        <v>83.857140000000001</v>
      </c>
      <c r="G99" s="88">
        <v>8.0714290000000002</v>
      </c>
      <c r="H99" s="88">
        <v>0</v>
      </c>
      <c r="I99" s="88">
        <v>0</v>
      </c>
      <c r="J99" s="88">
        <v>0.92857100000000004</v>
      </c>
      <c r="K99" s="88">
        <v>0</v>
      </c>
      <c r="L99" s="88">
        <v>0</v>
      </c>
      <c r="M99" s="88">
        <v>0</v>
      </c>
      <c r="N99" s="88">
        <v>0</v>
      </c>
      <c r="O99" s="88">
        <v>0</v>
      </c>
      <c r="P99" s="88">
        <v>0</v>
      </c>
      <c r="Q99" s="88">
        <v>0</v>
      </c>
      <c r="R99" s="88">
        <v>0</v>
      </c>
      <c r="S99" s="89">
        <v>0</v>
      </c>
      <c r="T99" s="88">
        <v>7.1428570000000002</v>
      </c>
      <c r="U99" s="88">
        <v>0</v>
      </c>
      <c r="V99" s="88">
        <v>0</v>
      </c>
      <c r="W99" s="88">
        <v>0</v>
      </c>
      <c r="X99" s="88">
        <v>0</v>
      </c>
      <c r="Y99" s="88">
        <v>0</v>
      </c>
      <c r="Z99" s="88">
        <v>0</v>
      </c>
      <c r="AA99" s="88">
        <v>0</v>
      </c>
      <c r="AB99" s="88">
        <v>0</v>
      </c>
      <c r="AC99" s="88">
        <v>0</v>
      </c>
      <c r="AD99" s="90">
        <f t="shared" si="12"/>
        <v>99.999997000000008</v>
      </c>
      <c r="AE99" s="88">
        <v>0</v>
      </c>
      <c r="AF99" s="88">
        <v>0</v>
      </c>
      <c r="AG99" s="88">
        <v>0</v>
      </c>
      <c r="AH99" s="88">
        <v>0</v>
      </c>
      <c r="AI99" s="156"/>
      <c r="AJ99" s="45"/>
      <c r="AK99" s="91"/>
      <c r="AL99" s="197"/>
      <c r="AM99" s="189"/>
      <c r="AN99" s="189"/>
      <c r="AO99" s="189"/>
      <c r="AP99" s="189"/>
      <c r="AQ99" s="189"/>
      <c r="AR99" s="189"/>
      <c r="AS99" s="189"/>
      <c r="AT99" s="198"/>
      <c r="AU99" s="189"/>
      <c r="AV99" s="199"/>
      <c r="AW99" s="189"/>
      <c r="AX99" s="189"/>
      <c r="AY99" s="156"/>
      <c r="AZ99" s="45"/>
      <c r="BA99" s="91"/>
      <c r="BB99" s="45">
        <v>1.93</v>
      </c>
      <c r="BC99" s="45">
        <v>20.100000000000001</v>
      </c>
      <c r="BD99" s="45">
        <v>198.6</v>
      </c>
      <c r="BE99" s="45">
        <v>10.1</v>
      </c>
      <c r="BF99" s="156">
        <v>1.93</v>
      </c>
      <c r="BG99" s="45">
        <v>6.8</v>
      </c>
      <c r="BH99" s="91">
        <v>196.4</v>
      </c>
      <c r="BI99" s="45"/>
      <c r="BJ99" s="67"/>
      <c r="BK99" s="225"/>
    </row>
    <row r="100" spans="1:63" ht="23.25" customHeight="1" x14ac:dyDescent="0.2">
      <c r="A100" s="62">
        <v>99</v>
      </c>
      <c r="B100" s="221"/>
      <c r="C100" s="221"/>
      <c r="D100" s="54" t="s">
        <v>22</v>
      </c>
      <c r="E100" s="54"/>
      <c r="F100" s="16">
        <v>81.370450000000005</v>
      </c>
      <c r="G100" s="8">
        <v>7.780157</v>
      </c>
      <c r="H100" s="8">
        <v>0</v>
      </c>
      <c r="I100" s="8">
        <v>0</v>
      </c>
      <c r="J100" s="8">
        <v>3.7116349999999998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17">
        <v>0</v>
      </c>
      <c r="T100" s="8">
        <v>7.137759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14">
        <f t="shared" si="12"/>
        <v>100.00000100000001</v>
      </c>
      <c r="AE100" s="8">
        <v>0</v>
      </c>
      <c r="AF100" s="8">
        <v>0</v>
      </c>
      <c r="AG100" s="8">
        <v>0</v>
      </c>
      <c r="AH100" s="8">
        <v>0</v>
      </c>
      <c r="AJ100" s="7"/>
      <c r="AK100" s="62"/>
      <c r="AL100" s="158"/>
      <c r="AM100" s="85"/>
      <c r="AN100" s="85"/>
      <c r="AO100" s="85"/>
      <c r="AP100" s="85"/>
      <c r="AQ100" s="85"/>
      <c r="AR100" s="85"/>
      <c r="AS100" s="85"/>
      <c r="AT100" s="205"/>
      <c r="AU100" s="85"/>
      <c r="AV100" s="196"/>
      <c r="AW100" s="85"/>
      <c r="AX100" s="85"/>
      <c r="AY100" s="39"/>
      <c r="AZ100" s="7"/>
      <c r="BA100" s="62"/>
      <c r="BB100" s="7">
        <v>1.93</v>
      </c>
      <c r="BC100" s="7">
        <v>16.7</v>
      </c>
      <c r="BD100" s="7">
        <v>238.8</v>
      </c>
      <c r="BE100" s="7">
        <v>8.5</v>
      </c>
      <c r="BF100" s="39">
        <v>1.93</v>
      </c>
      <c r="BG100" s="7">
        <v>4.2</v>
      </c>
      <c r="BH100" s="62">
        <v>238.1</v>
      </c>
      <c r="BI100" s="7"/>
      <c r="BJ100" s="32"/>
      <c r="BK100" s="223"/>
    </row>
    <row r="101" spans="1:63" ht="23.25" customHeight="1" x14ac:dyDescent="0.2">
      <c r="A101" s="7">
        <v>100</v>
      </c>
      <c r="B101" s="221"/>
      <c r="C101" s="221"/>
      <c r="D101" s="54" t="s">
        <v>23</v>
      </c>
      <c r="E101" s="54"/>
      <c r="F101" s="16">
        <v>78.928569999999993</v>
      </c>
      <c r="G101" s="8">
        <v>7.4285709999999998</v>
      </c>
      <c r="H101" s="8">
        <v>0</v>
      </c>
      <c r="I101" s="8">
        <v>0</v>
      </c>
      <c r="J101" s="8">
        <v>6.5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17">
        <v>0</v>
      </c>
      <c r="T101" s="8">
        <v>7.1428570000000002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14">
        <f t="shared" si="12"/>
        <v>99.999998000000005</v>
      </c>
      <c r="AE101" s="8">
        <v>0</v>
      </c>
      <c r="AF101" s="8">
        <v>0</v>
      </c>
      <c r="AG101" s="8">
        <v>0</v>
      </c>
      <c r="AH101" s="8">
        <v>0</v>
      </c>
      <c r="AJ101" s="7"/>
      <c r="AK101" s="62"/>
      <c r="AL101" s="158"/>
      <c r="AM101" s="85"/>
      <c r="AN101" s="85"/>
      <c r="AO101" s="85"/>
      <c r="AP101" s="85"/>
      <c r="AQ101" s="85"/>
      <c r="AR101" s="85"/>
      <c r="AS101" s="85"/>
      <c r="AT101" s="205"/>
      <c r="AU101" s="85"/>
      <c r="AV101" s="196"/>
      <c r="AW101" s="85"/>
      <c r="AX101" s="85"/>
      <c r="AY101" s="39"/>
      <c r="AZ101" s="7"/>
      <c r="BA101" s="62"/>
      <c r="BB101" s="7">
        <v>1.93</v>
      </c>
      <c r="BC101" s="7">
        <v>10.5</v>
      </c>
      <c r="BD101" s="7">
        <v>282.5</v>
      </c>
      <c r="BE101" s="7">
        <v>16.5</v>
      </c>
      <c r="BF101" s="39">
        <v>1.93</v>
      </c>
      <c r="BG101" s="7">
        <v>3.2</v>
      </c>
      <c r="BH101" s="62">
        <v>282.60000000000002</v>
      </c>
      <c r="BI101" s="7"/>
      <c r="BJ101" s="32"/>
      <c r="BK101" s="223"/>
    </row>
    <row r="102" spans="1:63" ht="23.25" customHeight="1" x14ac:dyDescent="0.2">
      <c r="A102" s="62">
        <v>101</v>
      </c>
      <c r="B102" s="221"/>
      <c r="C102" s="221"/>
      <c r="D102" s="54" t="s">
        <v>24</v>
      </c>
      <c r="E102" s="54"/>
      <c r="F102" s="16">
        <v>76.445400000000006</v>
      </c>
      <c r="G102" s="8">
        <v>7.137759</v>
      </c>
      <c r="H102" s="8">
        <v>0</v>
      </c>
      <c r="I102" s="8">
        <v>0</v>
      </c>
      <c r="J102" s="8">
        <v>9.2790859999999995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17">
        <v>0</v>
      </c>
      <c r="T102" s="8">
        <v>7.137759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14">
        <f t="shared" si="12"/>
        <v>100.000004</v>
      </c>
      <c r="AE102" s="8">
        <v>0</v>
      </c>
      <c r="AF102" s="8">
        <v>0</v>
      </c>
      <c r="AG102" s="8">
        <v>0</v>
      </c>
      <c r="AH102" s="8">
        <v>0</v>
      </c>
      <c r="AJ102" s="7"/>
      <c r="AK102" s="62"/>
      <c r="AL102" s="158"/>
      <c r="AM102" s="85"/>
      <c r="AN102" s="85"/>
      <c r="AO102" s="85"/>
      <c r="AP102" s="85"/>
      <c r="AQ102" s="85"/>
      <c r="AR102" s="85"/>
      <c r="AS102" s="85"/>
      <c r="AT102" s="205"/>
      <c r="AU102" s="85"/>
      <c r="AV102" s="196"/>
      <c r="AW102" s="85"/>
      <c r="AX102" s="85"/>
      <c r="AY102" s="39"/>
      <c r="AZ102" s="7"/>
      <c r="BA102" s="62"/>
      <c r="BB102" s="7">
        <v>1.93</v>
      </c>
      <c r="BC102" s="75">
        <v>6.8</v>
      </c>
      <c r="BD102" s="7">
        <v>326.7</v>
      </c>
      <c r="BE102" s="7">
        <v>27.1</v>
      </c>
      <c r="BF102" s="39">
        <v>1.93</v>
      </c>
      <c r="BG102" s="7">
        <v>2.8</v>
      </c>
      <c r="BH102" s="62">
        <v>326.3</v>
      </c>
      <c r="BI102" s="7"/>
      <c r="BJ102" s="32"/>
      <c r="BK102" s="223"/>
    </row>
    <row r="103" spans="1:63" ht="23.25" customHeight="1" x14ac:dyDescent="0.2">
      <c r="A103" s="7">
        <v>102</v>
      </c>
      <c r="B103" s="221"/>
      <c r="C103" s="221"/>
      <c r="D103" s="223" t="s">
        <v>25</v>
      </c>
      <c r="E103" s="54" t="s">
        <v>241</v>
      </c>
      <c r="F103" s="16">
        <v>82.857140000000001</v>
      </c>
      <c r="G103" s="8">
        <v>10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17">
        <v>0</v>
      </c>
      <c r="T103" s="8">
        <v>7.1428570000000002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14">
        <f t="shared" si="12"/>
        <v>99.999997000000008</v>
      </c>
      <c r="AE103" s="8">
        <v>0</v>
      </c>
      <c r="AF103" s="8">
        <v>0</v>
      </c>
      <c r="AG103" s="8">
        <v>0</v>
      </c>
      <c r="AH103" s="8">
        <v>0</v>
      </c>
      <c r="AJ103" s="7"/>
      <c r="AK103" s="62"/>
      <c r="AL103" s="158"/>
      <c r="AM103" s="85"/>
      <c r="AN103" s="85"/>
      <c r="AO103" s="85"/>
      <c r="AP103" s="85"/>
      <c r="AQ103" s="85"/>
      <c r="AR103" s="85"/>
      <c r="AS103" s="85"/>
      <c r="AT103" s="205"/>
      <c r="AU103" s="85"/>
      <c r="AV103" s="196"/>
      <c r="AW103" s="85"/>
      <c r="AX103" s="85"/>
      <c r="AY103" s="39"/>
      <c r="AZ103" s="7"/>
      <c r="BA103" s="62"/>
      <c r="BB103" s="7">
        <v>0</v>
      </c>
      <c r="BC103" s="7"/>
      <c r="BD103" s="7"/>
      <c r="BE103" s="7"/>
      <c r="BF103" s="39">
        <v>1.93</v>
      </c>
      <c r="BG103" s="7">
        <v>5.6</v>
      </c>
      <c r="BH103" s="62">
        <v>192.2</v>
      </c>
      <c r="BI103" s="7"/>
      <c r="BJ103" s="32"/>
      <c r="BK103" s="223"/>
    </row>
    <row r="104" spans="1:63" ht="23.25" customHeight="1" x14ac:dyDescent="0.2">
      <c r="A104" s="62">
        <v>103</v>
      </c>
      <c r="B104" s="221"/>
      <c r="C104" s="221"/>
      <c r="D104" s="223"/>
      <c r="E104" s="54" t="s">
        <v>248</v>
      </c>
      <c r="F104" s="16">
        <v>82.142859999999999</v>
      </c>
      <c r="G104" s="8">
        <v>10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0.71428599999999998</v>
      </c>
      <c r="Q104" s="8">
        <v>0</v>
      </c>
      <c r="R104" s="8">
        <v>0</v>
      </c>
      <c r="S104" s="17">
        <v>0</v>
      </c>
      <c r="T104" s="8">
        <v>7.1428570000000002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14">
        <f t="shared" si="12"/>
        <v>100.00000300000001</v>
      </c>
      <c r="AE104" s="8">
        <v>0</v>
      </c>
      <c r="AF104" s="8">
        <v>0</v>
      </c>
      <c r="AG104" s="8">
        <v>0</v>
      </c>
      <c r="AH104" s="8">
        <v>0</v>
      </c>
      <c r="AJ104" s="7"/>
      <c r="AK104" s="62"/>
      <c r="AL104" s="158"/>
      <c r="AM104" s="85"/>
      <c r="AN104" s="85"/>
      <c r="AO104" s="85"/>
      <c r="AP104" s="85"/>
      <c r="AQ104" s="85"/>
      <c r="AR104" s="85"/>
      <c r="AS104" s="85"/>
      <c r="AT104" s="205"/>
      <c r="AU104" s="85"/>
      <c r="AV104" s="196"/>
      <c r="AW104" s="85"/>
      <c r="AX104" s="85"/>
      <c r="AY104" s="39"/>
      <c r="AZ104" s="7"/>
      <c r="BA104" s="62"/>
      <c r="BB104" s="7">
        <v>0</v>
      </c>
      <c r="BC104" s="7"/>
      <c r="BD104" s="7"/>
      <c r="BE104" s="7"/>
      <c r="BF104" s="39">
        <v>1.93</v>
      </c>
      <c r="BG104" s="7">
        <v>5.2</v>
      </c>
      <c r="BH104" s="62">
        <v>172.8</v>
      </c>
      <c r="BI104" s="7"/>
      <c r="BJ104" s="32"/>
      <c r="BK104" s="223"/>
    </row>
    <row r="105" spans="1:63" ht="23.25" customHeight="1" x14ac:dyDescent="0.2">
      <c r="A105" s="7">
        <v>104</v>
      </c>
      <c r="B105" s="221"/>
      <c r="C105" s="221"/>
      <c r="D105" s="223"/>
      <c r="E105" s="54" t="s">
        <v>249</v>
      </c>
      <c r="F105" s="16">
        <v>81.428569999999993</v>
      </c>
      <c r="G105" s="8">
        <v>10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1.428571</v>
      </c>
      <c r="Q105" s="8">
        <v>0</v>
      </c>
      <c r="R105" s="8">
        <v>0</v>
      </c>
      <c r="S105" s="17">
        <v>0</v>
      </c>
      <c r="T105" s="8">
        <v>7.1428570000000002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14">
        <f t="shared" si="12"/>
        <v>99.999998000000005</v>
      </c>
      <c r="AE105" s="8">
        <v>0</v>
      </c>
      <c r="AF105" s="8">
        <v>0</v>
      </c>
      <c r="AG105" s="8">
        <v>0</v>
      </c>
      <c r="AH105" s="8">
        <v>0</v>
      </c>
      <c r="AJ105" s="7"/>
      <c r="AK105" s="62"/>
      <c r="AL105" s="158"/>
      <c r="AM105" s="85"/>
      <c r="AN105" s="85"/>
      <c r="AO105" s="85"/>
      <c r="AP105" s="85"/>
      <c r="AQ105" s="85"/>
      <c r="AR105" s="85"/>
      <c r="AS105" s="85"/>
      <c r="AT105" s="205"/>
      <c r="AU105" s="85"/>
      <c r="AV105" s="196"/>
      <c r="AW105" s="85"/>
      <c r="AX105" s="85"/>
      <c r="AY105" s="39"/>
      <c r="AZ105" s="7"/>
      <c r="BA105" s="62"/>
      <c r="BB105" s="7">
        <v>0</v>
      </c>
      <c r="BC105" s="7"/>
      <c r="BD105" s="7"/>
      <c r="BE105" s="7"/>
      <c r="BF105" s="39">
        <v>1.93</v>
      </c>
      <c r="BG105" s="7">
        <v>3.75</v>
      </c>
      <c r="BH105" s="62">
        <v>159.1</v>
      </c>
      <c r="BI105" s="7"/>
      <c r="BJ105" s="32"/>
      <c r="BK105" s="223"/>
    </row>
    <row r="106" spans="1:63" ht="23.25" customHeight="1" x14ac:dyDescent="0.2">
      <c r="A106" s="62">
        <v>105</v>
      </c>
      <c r="B106" s="221"/>
      <c r="C106" s="221"/>
      <c r="D106" s="223"/>
      <c r="E106" s="54" t="s">
        <v>242</v>
      </c>
      <c r="F106" s="16">
        <v>80.714290000000005</v>
      </c>
      <c r="G106" s="8">
        <v>10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2.1428569999999998</v>
      </c>
      <c r="Q106" s="8">
        <v>0</v>
      </c>
      <c r="R106" s="8">
        <v>0</v>
      </c>
      <c r="S106" s="17">
        <v>0</v>
      </c>
      <c r="T106" s="8">
        <v>7.1428570000000002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14">
        <f t="shared" si="12"/>
        <v>100.00000400000002</v>
      </c>
      <c r="AE106" s="8">
        <v>0</v>
      </c>
      <c r="AF106" s="8">
        <v>0</v>
      </c>
      <c r="AG106" s="8">
        <v>0</v>
      </c>
      <c r="AH106" s="8">
        <v>0</v>
      </c>
      <c r="AJ106" s="7"/>
      <c r="AK106" s="62"/>
      <c r="AL106" s="158"/>
      <c r="AM106" s="85"/>
      <c r="AN106" s="85"/>
      <c r="AO106" s="85"/>
      <c r="AP106" s="85"/>
      <c r="AQ106" s="85"/>
      <c r="AR106" s="85"/>
      <c r="AS106" s="85"/>
      <c r="AT106" s="205"/>
      <c r="AU106" s="85"/>
      <c r="AV106" s="196"/>
      <c r="AW106" s="85"/>
      <c r="AX106" s="85"/>
      <c r="AY106" s="39"/>
      <c r="AZ106" s="7"/>
      <c r="BA106" s="62"/>
      <c r="BB106" s="7">
        <v>0</v>
      </c>
      <c r="BC106" s="7"/>
      <c r="BD106" s="7"/>
      <c r="BE106" s="7"/>
      <c r="BF106" s="39">
        <v>1.93</v>
      </c>
      <c r="BG106" s="7">
        <v>2.7</v>
      </c>
      <c r="BH106" s="62">
        <v>142.9</v>
      </c>
      <c r="BI106" s="7"/>
      <c r="BJ106" s="32"/>
      <c r="BK106" s="223"/>
    </row>
    <row r="107" spans="1:63" ht="23.25" customHeight="1" x14ac:dyDescent="0.2">
      <c r="A107" s="7">
        <v>106</v>
      </c>
      <c r="B107" s="221"/>
      <c r="C107" s="221"/>
      <c r="D107" s="223" t="s">
        <v>293</v>
      </c>
      <c r="E107" s="54" t="s">
        <v>294</v>
      </c>
      <c r="F107" s="16">
        <v>80.928571428571402</v>
      </c>
      <c r="G107" s="8">
        <v>10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1.9285714285714199</v>
      </c>
      <c r="Q107" s="8">
        <v>0</v>
      </c>
      <c r="R107" s="8">
        <v>0</v>
      </c>
      <c r="S107" s="17">
        <v>0</v>
      </c>
      <c r="T107" s="8">
        <v>7.1428571428571397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14">
        <f t="shared" si="12"/>
        <v>99.999999999999957</v>
      </c>
      <c r="AE107" s="76">
        <f>1.8*100/14</f>
        <v>12.857142857142858</v>
      </c>
      <c r="AF107" s="8">
        <v>0</v>
      </c>
      <c r="AG107" s="8">
        <v>0</v>
      </c>
      <c r="AH107" s="8">
        <v>0</v>
      </c>
      <c r="AI107" s="39" t="s">
        <v>1528</v>
      </c>
      <c r="AJ107" s="7"/>
      <c r="AK107" s="62"/>
      <c r="AL107" s="158"/>
      <c r="AM107" s="85"/>
      <c r="AN107" s="85"/>
      <c r="AO107" s="85"/>
      <c r="AP107" s="85"/>
      <c r="AQ107" s="85"/>
      <c r="AR107" s="85"/>
      <c r="AS107" s="85"/>
      <c r="AT107" s="205"/>
      <c r="AU107" s="85"/>
      <c r="AV107" s="196"/>
      <c r="AW107" s="85"/>
      <c r="AX107" s="85"/>
      <c r="AY107" s="39"/>
      <c r="AZ107" s="7"/>
      <c r="BA107" s="62"/>
      <c r="BB107" s="7">
        <v>1.93</v>
      </c>
      <c r="BC107" s="7">
        <v>4.9000000000000004</v>
      </c>
      <c r="BD107" s="7">
        <v>306.5</v>
      </c>
      <c r="BE107" s="7">
        <v>10</v>
      </c>
      <c r="BF107" s="39">
        <v>1.93</v>
      </c>
      <c r="BG107" s="7">
        <v>4.5999999999999996</v>
      </c>
      <c r="BH107" s="62">
        <v>305.5</v>
      </c>
      <c r="BI107" s="7"/>
      <c r="BJ107" s="32"/>
      <c r="BK107" s="223"/>
    </row>
    <row r="108" spans="1:63" ht="23.25" customHeight="1" x14ac:dyDescent="0.2">
      <c r="A108" s="62">
        <v>107</v>
      </c>
      <c r="B108" s="221"/>
      <c r="C108" s="221"/>
      <c r="D108" s="223"/>
      <c r="E108" s="54" t="s">
        <v>295</v>
      </c>
      <c r="F108" s="16">
        <v>80.428571428571402</v>
      </c>
      <c r="G108" s="8">
        <v>10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2.4285714285714199</v>
      </c>
      <c r="Q108" s="8">
        <v>0</v>
      </c>
      <c r="R108" s="8">
        <v>0</v>
      </c>
      <c r="S108" s="17">
        <v>0</v>
      </c>
      <c r="T108" s="8">
        <v>7.1428571428571397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14">
        <f t="shared" si="12"/>
        <v>99.999999999999957</v>
      </c>
      <c r="AE108" s="76">
        <f t="shared" ref="AE108:AE110" si="14">1.8*100/14</f>
        <v>12.857142857142858</v>
      </c>
      <c r="AF108" s="8">
        <v>0</v>
      </c>
      <c r="AG108" s="8">
        <v>0</v>
      </c>
      <c r="AH108" s="8">
        <v>0</v>
      </c>
      <c r="AI108" s="39" t="s">
        <v>1528</v>
      </c>
      <c r="AJ108" s="7"/>
      <c r="AK108" s="62"/>
      <c r="AL108" s="158"/>
      <c r="AM108" s="85"/>
      <c r="AN108" s="85"/>
      <c r="AO108" s="85"/>
      <c r="AP108" s="85"/>
      <c r="AQ108" s="85"/>
      <c r="AR108" s="85"/>
      <c r="AS108" s="85"/>
      <c r="AT108" s="205"/>
      <c r="AU108" s="85"/>
      <c r="AV108" s="196"/>
      <c r="AW108" s="85"/>
      <c r="AX108" s="85"/>
      <c r="AY108" s="39"/>
      <c r="AZ108" s="7"/>
      <c r="BA108" s="62"/>
      <c r="BB108" s="7">
        <v>1.93</v>
      </c>
      <c r="BC108" s="7">
        <v>4.9000000000000004</v>
      </c>
      <c r="BD108" s="7">
        <v>294.8</v>
      </c>
      <c r="BE108" s="7">
        <v>10</v>
      </c>
      <c r="BF108" s="39">
        <v>1.93</v>
      </c>
      <c r="BG108" s="7">
        <v>4.0999999999999996</v>
      </c>
      <c r="BH108" s="62">
        <v>274.10000000000002</v>
      </c>
      <c r="BI108" s="7"/>
      <c r="BJ108" s="32"/>
      <c r="BK108" s="223"/>
    </row>
    <row r="109" spans="1:63" ht="23.25" customHeight="1" x14ac:dyDescent="0.2">
      <c r="A109" s="7">
        <v>108</v>
      </c>
      <c r="B109" s="221"/>
      <c r="C109" s="221"/>
      <c r="D109" s="223"/>
      <c r="E109" s="54" t="s">
        <v>296</v>
      </c>
      <c r="F109" s="16">
        <v>80.071428571428498</v>
      </c>
      <c r="G109" s="8">
        <v>10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2.7857142857142798</v>
      </c>
      <c r="Q109" s="8">
        <v>0</v>
      </c>
      <c r="R109" s="8">
        <v>0</v>
      </c>
      <c r="S109" s="17">
        <v>0</v>
      </c>
      <c r="T109" s="8">
        <v>7.1428571428571397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14">
        <f t="shared" si="12"/>
        <v>99.999999999999915</v>
      </c>
      <c r="AE109" s="76">
        <f t="shared" si="14"/>
        <v>12.857142857142858</v>
      </c>
      <c r="AF109" s="8">
        <v>0</v>
      </c>
      <c r="AG109" s="8">
        <v>0</v>
      </c>
      <c r="AH109" s="8">
        <v>0</v>
      </c>
      <c r="AI109" s="39" t="s">
        <v>1528</v>
      </c>
      <c r="AJ109" s="7"/>
      <c r="AK109" s="62"/>
      <c r="AL109" s="158"/>
      <c r="AM109" s="85"/>
      <c r="AN109" s="85"/>
      <c r="AO109" s="85"/>
      <c r="AP109" s="85"/>
      <c r="AQ109" s="85"/>
      <c r="AR109" s="85"/>
      <c r="AS109" s="85"/>
      <c r="AT109" s="205"/>
      <c r="AU109" s="85"/>
      <c r="AV109" s="196"/>
      <c r="AW109" s="85"/>
      <c r="AX109" s="85"/>
      <c r="AY109" s="39"/>
      <c r="AZ109" s="7"/>
      <c r="BA109" s="62"/>
      <c r="BB109" s="7">
        <v>1.93</v>
      </c>
      <c r="BC109" s="7">
        <v>3.9</v>
      </c>
      <c r="BD109" s="7">
        <v>284.7</v>
      </c>
      <c r="BE109" s="7">
        <v>10.5</v>
      </c>
      <c r="BF109" s="39">
        <v>1.93</v>
      </c>
      <c r="BG109" s="7">
        <v>4.0999999999999996</v>
      </c>
      <c r="BH109" s="62">
        <v>284.7</v>
      </c>
      <c r="BI109" s="7"/>
      <c r="BJ109" s="32"/>
      <c r="BK109" s="223"/>
    </row>
    <row r="110" spans="1:63" s="6" customFormat="1" ht="23.25" customHeight="1" thickBot="1" x14ac:dyDescent="0.25">
      <c r="A110" s="62">
        <v>109</v>
      </c>
      <c r="B110" s="222"/>
      <c r="C110" s="222"/>
      <c r="D110" s="224"/>
      <c r="E110" s="13" t="s">
        <v>297</v>
      </c>
      <c r="F110" s="80">
        <v>79.785714285714207</v>
      </c>
      <c r="G110" s="81">
        <v>10</v>
      </c>
      <c r="H110" s="81">
        <v>0</v>
      </c>
      <c r="I110" s="81">
        <v>0</v>
      </c>
      <c r="J110" s="81">
        <v>0</v>
      </c>
      <c r="K110" s="81">
        <v>0</v>
      </c>
      <c r="L110" s="81">
        <v>0</v>
      </c>
      <c r="M110" s="81">
        <v>0</v>
      </c>
      <c r="N110" s="81">
        <v>0</v>
      </c>
      <c r="O110" s="81">
        <v>0</v>
      </c>
      <c r="P110" s="81">
        <v>3.0714285714285698</v>
      </c>
      <c r="Q110" s="81">
        <v>0</v>
      </c>
      <c r="R110" s="81">
        <v>0</v>
      </c>
      <c r="S110" s="82">
        <v>0</v>
      </c>
      <c r="T110" s="81">
        <v>7.1428571428571397</v>
      </c>
      <c r="U110" s="81">
        <v>0</v>
      </c>
      <c r="V110" s="81">
        <v>0</v>
      </c>
      <c r="W110" s="81">
        <v>0</v>
      </c>
      <c r="X110" s="81">
        <v>0</v>
      </c>
      <c r="Y110" s="81">
        <v>0</v>
      </c>
      <c r="Z110" s="81">
        <v>0</v>
      </c>
      <c r="AA110" s="81">
        <v>0</v>
      </c>
      <c r="AB110" s="81">
        <v>0</v>
      </c>
      <c r="AC110" s="81">
        <v>0</v>
      </c>
      <c r="AD110" s="83">
        <f t="shared" si="12"/>
        <v>99.999999999999915</v>
      </c>
      <c r="AE110" s="77">
        <f t="shared" si="14"/>
        <v>12.857142857142858</v>
      </c>
      <c r="AF110" s="81">
        <v>0</v>
      </c>
      <c r="AG110" s="81">
        <v>0</v>
      </c>
      <c r="AH110" s="81">
        <v>0</v>
      </c>
      <c r="AI110" s="79" t="s">
        <v>1528</v>
      </c>
      <c r="AJ110" s="65"/>
      <c r="AK110" s="78"/>
      <c r="AL110" s="200"/>
      <c r="AM110" s="190"/>
      <c r="AN110" s="190"/>
      <c r="AO110" s="190"/>
      <c r="AP110" s="190"/>
      <c r="AQ110" s="190"/>
      <c r="AR110" s="190"/>
      <c r="AS110" s="190"/>
      <c r="AT110" s="201"/>
      <c r="AU110" s="190"/>
      <c r="AV110" s="202"/>
      <c r="AW110" s="190"/>
      <c r="AX110" s="190"/>
      <c r="AY110" s="79"/>
      <c r="AZ110" s="65"/>
      <c r="BA110" s="78"/>
      <c r="BB110" s="65">
        <v>1.93</v>
      </c>
      <c r="BC110" s="65">
        <v>3.5</v>
      </c>
      <c r="BD110" s="65">
        <v>276.89999999999998</v>
      </c>
      <c r="BE110" s="65">
        <v>11.1</v>
      </c>
      <c r="BF110" s="79">
        <v>1.93</v>
      </c>
      <c r="BG110" s="65">
        <v>3.8</v>
      </c>
      <c r="BH110" s="78">
        <v>276.89999999999998</v>
      </c>
      <c r="BI110" s="65"/>
      <c r="BJ110" s="68"/>
      <c r="BK110" s="224"/>
    </row>
    <row r="111" spans="1:63" ht="23.25" customHeight="1" x14ac:dyDescent="0.2">
      <c r="A111" s="7">
        <v>110</v>
      </c>
      <c r="B111" s="221">
        <v>13</v>
      </c>
      <c r="C111" s="221" t="s">
        <v>1583</v>
      </c>
      <c r="D111" s="225" t="s">
        <v>26</v>
      </c>
      <c r="E111" s="54"/>
      <c r="F111" s="16">
        <v>84.285709999999995</v>
      </c>
      <c r="G111" s="8">
        <v>8.5714290000000002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17">
        <v>0</v>
      </c>
      <c r="T111" s="8">
        <v>7.1428570000000002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14">
        <f t="shared" si="12"/>
        <v>99.999995999999996</v>
      </c>
      <c r="AE111" s="8">
        <v>0</v>
      </c>
      <c r="AF111" s="8">
        <v>0</v>
      </c>
      <c r="AG111" s="8">
        <v>0</v>
      </c>
      <c r="AH111" s="8">
        <v>0</v>
      </c>
      <c r="AI111" s="39" t="s">
        <v>1531</v>
      </c>
      <c r="AJ111" s="7">
        <v>168</v>
      </c>
      <c r="AK111" s="62">
        <v>1273</v>
      </c>
      <c r="AL111" s="193">
        <f>38.1/100.9*100</f>
        <v>37.760158572844396</v>
      </c>
      <c r="AM111" s="192">
        <f>43/100.9*100</f>
        <v>42.616451932606537</v>
      </c>
      <c r="AN111" s="192">
        <f>19.8/100.9*100</f>
        <v>19.623389494549059</v>
      </c>
      <c r="AO111" s="192"/>
      <c r="AP111" s="85"/>
      <c r="AQ111" s="85"/>
      <c r="AR111" s="85"/>
      <c r="AS111" s="85"/>
      <c r="AT111" s="205"/>
      <c r="AU111" s="85">
        <v>1</v>
      </c>
      <c r="AV111" s="196">
        <f t="shared" ref="AV111:AV115" si="15">SUM(AL111:AT111)</f>
        <v>100</v>
      </c>
      <c r="AW111" s="85"/>
      <c r="AX111" s="85"/>
      <c r="AY111" s="39"/>
      <c r="AZ111" s="7"/>
      <c r="BA111" s="62"/>
      <c r="BB111" s="7"/>
      <c r="BC111" s="7"/>
      <c r="BD111" s="7"/>
      <c r="BE111" s="7"/>
      <c r="BF111" s="39"/>
      <c r="BG111" s="7"/>
      <c r="BH111" s="62"/>
      <c r="BI111" s="7"/>
      <c r="BJ111" s="32"/>
      <c r="BK111" s="223"/>
    </row>
    <row r="112" spans="1:63" ht="23.25" customHeight="1" x14ac:dyDescent="0.2">
      <c r="A112" s="62">
        <v>111</v>
      </c>
      <c r="B112" s="221"/>
      <c r="C112" s="221"/>
      <c r="D112" s="223"/>
      <c r="E112" s="54"/>
      <c r="F112" s="16">
        <v>84.285709999999995</v>
      </c>
      <c r="G112" s="8">
        <v>8.5714290000000002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17">
        <v>0</v>
      </c>
      <c r="T112" s="8">
        <v>7.1428570000000002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14">
        <f t="shared" si="12"/>
        <v>99.999995999999996</v>
      </c>
      <c r="AE112" s="8">
        <v>0</v>
      </c>
      <c r="AF112" s="8">
        <v>0</v>
      </c>
      <c r="AG112" s="8">
        <v>0</v>
      </c>
      <c r="AH112" s="8">
        <v>0</v>
      </c>
      <c r="AI112" s="39" t="s">
        <v>1531</v>
      </c>
      <c r="AJ112" s="7">
        <v>168</v>
      </c>
      <c r="AK112" s="62">
        <v>1323</v>
      </c>
      <c r="AL112" s="193">
        <f>83.7/101.57*100</f>
        <v>82.406222309737132</v>
      </c>
      <c r="AM112" s="192">
        <f>10.7/101.57*100</f>
        <v>10.53460667519937</v>
      </c>
      <c r="AN112" s="192">
        <f>7.17/101.57*100</f>
        <v>7.0591710150635034</v>
      </c>
      <c r="AO112" s="85"/>
      <c r="AP112" s="85"/>
      <c r="AQ112" s="85"/>
      <c r="AR112" s="85"/>
      <c r="AS112" s="85"/>
      <c r="AT112" s="205"/>
      <c r="AU112" s="85">
        <v>1</v>
      </c>
      <c r="AV112" s="196">
        <f t="shared" si="15"/>
        <v>100</v>
      </c>
      <c r="AW112" s="85"/>
      <c r="AX112" s="85"/>
      <c r="AY112" s="39"/>
      <c r="AZ112" s="7"/>
      <c r="BA112" s="62"/>
      <c r="BB112" s="7"/>
      <c r="BC112" s="7"/>
      <c r="BD112" s="7"/>
      <c r="BE112" s="7"/>
      <c r="BF112" s="39"/>
      <c r="BG112" s="7"/>
      <c r="BH112" s="62"/>
      <c r="BI112" s="7"/>
      <c r="BJ112" s="32"/>
      <c r="BK112" s="223"/>
    </row>
    <row r="113" spans="1:63" ht="23.25" customHeight="1" x14ac:dyDescent="0.2">
      <c r="A113" s="7">
        <v>112</v>
      </c>
      <c r="B113" s="221"/>
      <c r="C113" s="221"/>
      <c r="D113" s="223"/>
      <c r="E113" s="54"/>
      <c r="F113" s="16">
        <v>84.285709999999995</v>
      </c>
      <c r="G113" s="8">
        <v>8.5714290000000002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17">
        <v>0</v>
      </c>
      <c r="T113" s="8">
        <v>7.1428570000000002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14">
        <f t="shared" si="12"/>
        <v>99.999995999999996</v>
      </c>
      <c r="AE113" s="8">
        <v>0</v>
      </c>
      <c r="AF113" s="8">
        <v>0</v>
      </c>
      <c r="AG113" s="8">
        <v>0</v>
      </c>
      <c r="AH113" s="8">
        <v>0</v>
      </c>
      <c r="AI113" s="39" t="s">
        <v>1531</v>
      </c>
      <c r="AJ113" s="7">
        <v>168</v>
      </c>
      <c r="AK113" s="62">
        <v>1373</v>
      </c>
      <c r="AL113" s="193">
        <f>92.8/102.2*100</f>
        <v>90.802348336594903</v>
      </c>
      <c r="AM113" s="192">
        <f>7/102.2*100</f>
        <v>6.8493150684931505</v>
      </c>
      <c r="AN113" s="192">
        <f>2.4/102.2*100</f>
        <v>2.3483365949119372</v>
      </c>
      <c r="AO113" s="85"/>
      <c r="AP113" s="85"/>
      <c r="AQ113" s="85"/>
      <c r="AR113" s="85"/>
      <c r="AS113" s="85"/>
      <c r="AT113" s="205"/>
      <c r="AU113" s="85">
        <v>1</v>
      </c>
      <c r="AV113" s="196">
        <f t="shared" si="15"/>
        <v>100</v>
      </c>
      <c r="AW113" s="85"/>
      <c r="AX113" s="85"/>
      <c r="AY113" s="39">
        <v>0.05</v>
      </c>
      <c r="AZ113" s="7">
        <v>185</v>
      </c>
      <c r="BA113" s="62">
        <v>5</v>
      </c>
      <c r="BB113" s="7" t="s">
        <v>524</v>
      </c>
      <c r="BC113" s="7" t="s">
        <v>567</v>
      </c>
      <c r="BD113" s="7" t="s">
        <v>563</v>
      </c>
      <c r="BE113" s="7" t="s">
        <v>561</v>
      </c>
      <c r="BF113" s="39">
        <v>1.9</v>
      </c>
      <c r="BG113" s="7">
        <v>7.3</v>
      </c>
      <c r="BH113" s="62">
        <v>188</v>
      </c>
      <c r="BI113" s="7"/>
      <c r="BJ113" s="32"/>
      <c r="BK113" s="223"/>
    </row>
    <row r="114" spans="1:63" ht="23.25" customHeight="1" x14ac:dyDescent="0.2">
      <c r="A114" s="62">
        <v>113</v>
      </c>
      <c r="B114" s="221"/>
      <c r="C114" s="221"/>
      <c r="D114" s="223"/>
      <c r="E114" s="54"/>
      <c r="F114" s="16">
        <v>84.285709999999995</v>
      </c>
      <c r="G114" s="8">
        <v>8.5714290000000002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17">
        <v>0</v>
      </c>
      <c r="T114" s="8">
        <v>7.1428570000000002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14">
        <f t="shared" si="12"/>
        <v>99.999995999999996</v>
      </c>
      <c r="AE114" s="8">
        <v>0</v>
      </c>
      <c r="AF114" s="8">
        <v>0</v>
      </c>
      <c r="AG114" s="8">
        <v>0</v>
      </c>
      <c r="AH114" s="8">
        <v>0</v>
      </c>
      <c r="AI114" s="39" t="s">
        <v>1531</v>
      </c>
      <c r="AJ114" s="7">
        <v>168</v>
      </c>
      <c r="AK114" s="62">
        <v>1423</v>
      </c>
      <c r="AL114" s="193">
        <f>82.6/101.5*100</f>
        <v>81.379310344827587</v>
      </c>
      <c r="AM114" s="192">
        <f>12/101.5*100</f>
        <v>11.822660098522167</v>
      </c>
      <c r="AN114" s="192">
        <f>6.9/101.5*100</f>
        <v>6.7980295566502464</v>
      </c>
      <c r="AO114" s="85"/>
      <c r="AP114" s="85"/>
      <c r="AQ114" s="85"/>
      <c r="AR114" s="85"/>
      <c r="AS114" s="85"/>
      <c r="AT114" s="205"/>
      <c r="AU114" s="85">
        <v>1</v>
      </c>
      <c r="AV114" s="196">
        <f t="shared" si="15"/>
        <v>100</v>
      </c>
      <c r="AW114" s="85"/>
      <c r="AX114" s="85"/>
      <c r="AY114" s="39">
        <v>0.05</v>
      </c>
      <c r="AZ114" s="7">
        <v>191</v>
      </c>
      <c r="BA114" s="62">
        <v>1.6</v>
      </c>
      <c r="BB114" s="7" t="s">
        <v>523</v>
      </c>
      <c r="BC114" s="7" t="s">
        <v>568</v>
      </c>
      <c r="BD114" s="7" t="s">
        <v>564</v>
      </c>
      <c r="BE114" s="7" t="s">
        <v>562</v>
      </c>
      <c r="BF114" s="39"/>
      <c r="BG114" s="7"/>
      <c r="BH114" s="62"/>
      <c r="BI114" s="7"/>
      <c r="BJ114" s="32"/>
      <c r="BK114" s="223"/>
    </row>
    <row r="115" spans="1:63" ht="23.25" customHeight="1" x14ac:dyDescent="0.2">
      <c r="A115" s="7">
        <v>114</v>
      </c>
      <c r="B115" s="221"/>
      <c r="C115" s="221"/>
      <c r="D115" s="223"/>
      <c r="E115" s="54"/>
      <c r="F115" s="16">
        <v>84.285709999999995</v>
      </c>
      <c r="G115" s="8">
        <v>8.5714290000000002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17">
        <v>0</v>
      </c>
      <c r="T115" s="8">
        <v>7.1428570000000002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14">
        <f t="shared" si="12"/>
        <v>99.999995999999996</v>
      </c>
      <c r="AE115" s="8">
        <v>0</v>
      </c>
      <c r="AF115" s="8">
        <v>0</v>
      </c>
      <c r="AG115" s="8">
        <v>0</v>
      </c>
      <c r="AH115" s="8">
        <v>0</v>
      </c>
      <c r="AI115" s="39" t="s">
        <v>1531</v>
      </c>
      <c r="AJ115" s="7">
        <v>168</v>
      </c>
      <c r="AK115" s="62">
        <v>1473</v>
      </c>
      <c r="AL115" s="193">
        <f>70.5/103.6*100</f>
        <v>68.050193050193059</v>
      </c>
      <c r="AM115" s="192">
        <f>23.9/103.6*100</f>
        <v>23.069498069498071</v>
      </c>
      <c r="AN115" s="192">
        <f>9.2/103.6*100</f>
        <v>8.8803088803088812</v>
      </c>
      <c r="AO115" s="85"/>
      <c r="AP115" s="85"/>
      <c r="AQ115" s="85"/>
      <c r="AR115" s="85"/>
      <c r="AS115" s="85"/>
      <c r="AT115" s="205"/>
      <c r="AU115" s="85">
        <v>1</v>
      </c>
      <c r="AV115" s="196">
        <f t="shared" si="15"/>
        <v>100</v>
      </c>
      <c r="AW115" s="85"/>
      <c r="AX115" s="85"/>
      <c r="AY115" s="39">
        <v>0.05</v>
      </c>
      <c r="AZ115" s="7">
        <v>202</v>
      </c>
      <c r="BA115" s="62"/>
      <c r="BB115" s="7" t="s">
        <v>523</v>
      </c>
      <c r="BC115" s="7" t="s">
        <v>569</v>
      </c>
      <c r="BD115" s="7" t="s">
        <v>565</v>
      </c>
      <c r="BE115" s="7" t="s">
        <v>560</v>
      </c>
      <c r="BF115" s="39"/>
      <c r="BG115" s="7"/>
      <c r="BH115" s="62"/>
      <c r="BI115" s="7"/>
      <c r="BJ115" s="32"/>
      <c r="BK115" s="223"/>
    </row>
    <row r="116" spans="1:63" ht="23.25" customHeight="1" x14ac:dyDescent="0.2">
      <c r="A116" s="62">
        <v>115</v>
      </c>
      <c r="B116" s="221"/>
      <c r="C116" s="221"/>
      <c r="D116" s="223" t="s">
        <v>17</v>
      </c>
      <c r="E116" s="54"/>
      <c r="F116" s="16">
        <v>82.857140000000001</v>
      </c>
      <c r="G116" s="8">
        <v>10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17">
        <v>0</v>
      </c>
      <c r="T116" s="8">
        <v>7.1428570000000002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14">
        <f t="shared" si="12"/>
        <v>99.999997000000008</v>
      </c>
      <c r="AE116" s="8">
        <v>0</v>
      </c>
      <c r="AF116" s="8">
        <v>0</v>
      </c>
      <c r="AG116" s="8">
        <v>0</v>
      </c>
      <c r="AH116" s="8">
        <v>0</v>
      </c>
      <c r="AI116" s="39" t="s">
        <v>1531</v>
      </c>
      <c r="AJ116" s="7">
        <v>168</v>
      </c>
      <c r="AK116" s="62">
        <v>1323</v>
      </c>
      <c r="AL116" s="193">
        <f>99.8/102.3*100</f>
        <v>97.556207233626594</v>
      </c>
      <c r="AM116" s="192">
        <f>1.8/102.3*100</f>
        <v>1.7595307917888565</v>
      </c>
      <c r="AN116" s="192">
        <f>0.7/102.3*100</f>
        <v>0.68426197458455518</v>
      </c>
      <c r="AO116" s="85"/>
      <c r="AP116" s="85"/>
      <c r="AQ116" s="85"/>
      <c r="AR116" s="85"/>
      <c r="AS116" s="85"/>
      <c r="AT116" s="205"/>
      <c r="AU116" s="85">
        <v>1</v>
      </c>
      <c r="AV116" s="196">
        <f>SUM(AL116:AT116)</f>
        <v>100.00000000000001</v>
      </c>
      <c r="AW116" s="85"/>
      <c r="AX116" s="85"/>
      <c r="AY116" s="39"/>
      <c r="AZ116" s="7"/>
      <c r="BA116" s="62"/>
      <c r="BB116" s="7" t="s">
        <v>523</v>
      </c>
      <c r="BC116" s="7" t="s">
        <v>570</v>
      </c>
      <c r="BD116" s="7" t="s">
        <v>566</v>
      </c>
      <c r="BE116" s="7" t="s">
        <v>559</v>
      </c>
      <c r="BF116" s="39">
        <v>1.9</v>
      </c>
      <c r="BG116" s="7">
        <v>7</v>
      </c>
      <c r="BH116" s="62">
        <v>195</v>
      </c>
      <c r="BI116" s="7"/>
      <c r="BJ116" s="32"/>
      <c r="BK116" s="223"/>
    </row>
    <row r="117" spans="1:63" ht="23.25" customHeight="1" x14ac:dyDescent="0.2">
      <c r="A117" s="7">
        <v>116</v>
      </c>
      <c r="B117" s="221"/>
      <c r="C117" s="221"/>
      <c r="D117" s="223"/>
      <c r="E117" s="54"/>
      <c r="F117" s="16">
        <v>82.857140000000001</v>
      </c>
      <c r="G117" s="8">
        <v>10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17">
        <v>0</v>
      </c>
      <c r="T117" s="8">
        <v>7.1428570000000002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14">
        <f t="shared" si="12"/>
        <v>99.999997000000008</v>
      </c>
      <c r="AE117" s="8">
        <v>0</v>
      </c>
      <c r="AF117" s="8">
        <v>0</v>
      </c>
      <c r="AG117" s="8">
        <v>0</v>
      </c>
      <c r="AH117" s="8">
        <v>0</v>
      </c>
      <c r="AI117" s="39" t="s">
        <v>1531</v>
      </c>
      <c r="AJ117" s="7">
        <v>24</v>
      </c>
      <c r="AK117" s="62">
        <v>1373</v>
      </c>
      <c r="AL117" s="193">
        <f>54.9/100.9*100</f>
        <v>54.410307234886027</v>
      </c>
      <c r="AM117" s="192">
        <f>30.8/100.9*100</f>
        <v>30.525272547076309</v>
      </c>
      <c r="AN117" s="192">
        <f>15.2/100.9*100</f>
        <v>15.064420218037661</v>
      </c>
      <c r="AO117" s="85"/>
      <c r="AP117" s="85"/>
      <c r="AQ117" s="85"/>
      <c r="AR117" s="85"/>
      <c r="AS117" s="85"/>
      <c r="AT117" s="205"/>
      <c r="AU117" s="85">
        <v>1</v>
      </c>
      <c r="AV117" s="196">
        <f t="shared" ref="AV117:AV123" si="16">SUM(AL117:AT117)</f>
        <v>100</v>
      </c>
      <c r="AW117" s="85"/>
      <c r="AX117" s="85"/>
      <c r="AY117" s="39"/>
      <c r="AZ117" s="7"/>
      <c r="BA117" s="62"/>
      <c r="BB117" s="7"/>
      <c r="BC117" s="7"/>
      <c r="BD117" s="7"/>
      <c r="BE117" s="7"/>
      <c r="BF117" s="39"/>
      <c r="BG117" s="7"/>
      <c r="BH117" s="62"/>
      <c r="BI117" s="7"/>
      <c r="BJ117" s="32"/>
      <c r="BK117" s="223"/>
    </row>
    <row r="118" spans="1:63" ht="23.25" customHeight="1" x14ac:dyDescent="0.2">
      <c r="A118" s="62">
        <v>117</v>
      </c>
      <c r="B118" s="221"/>
      <c r="C118" s="221"/>
      <c r="D118" s="223"/>
      <c r="E118" s="54"/>
      <c r="F118" s="16">
        <v>82.857140000000001</v>
      </c>
      <c r="G118" s="8">
        <v>10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17">
        <v>0</v>
      </c>
      <c r="T118" s="8">
        <v>7.1428570000000002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14">
        <f t="shared" ref="AD118:AD174" si="17">SUM(F118:AC118)</f>
        <v>99.999997000000008</v>
      </c>
      <c r="AE118" s="8">
        <v>0</v>
      </c>
      <c r="AF118" s="8">
        <v>0</v>
      </c>
      <c r="AG118" s="8">
        <v>0</v>
      </c>
      <c r="AH118" s="8">
        <v>0</v>
      </c>
      <c r="AI118" s="39" t="s">
        <v>1531</v>
      </c>
      <c r="AJ118" s="7">
        <v>72</v>
      </c>
      <c r="AK118" s="62">
        <v>1373</v>
      </c>
      <c r="AL118" s="193">
        <f>65.3/101.7*100</f>
        <v>64.208456243854471</v>
      </c>
      <c r="AM118" s="192">
        <f>25.6/101.7*100</f>
        <v>25.172074729596854</v>
      </c>
      <c r="AN118" s="192">
        <f>10.8/101.7*100</f>
        <v>10.619469026548673</v>
      </c>
      <c r="AO118" s="85"/>
      <c r="AP118" s="85"/>
      <c r="AQ118" s="85"/>
      <c r="AR118" s="85"/>
      <c r="AS118" s="85"/>
      <c r="AT118" s="205"/>
      <c r="AU118" s="85">
        <v>1</v>
      </c>
      <c r="AV118" s="196">
        <f t="shared" si="16"/>
        <v>100</v>
      </c>
      <c r="AW118" s="85"/>
      <c r="AX118" s="85"/>
      <c r="AY118" s="39"/>
      <c r="AZ118" s="7"/>
      <c r="BA118" s="62"/>
      <c r="BB118" s="7"/>
      <c r="BC118" s="7"/>
      <c r="BD118" s="7"/>
      <c r="BE118" s="7"/>
      <c r="BF118" s="39"/>
      <c r="BG118" s="7"/>
      <c r="BH118" s="62"/>
      <c r="BI118" s="7"/>
      <c r="BJ118" s="32"/>
      <c r="BK118" s="223"/>
    </row>
    <row r="119" spans="1:63" ht="23.25" customHeight="1" x14ac:dyDescent="0.2">
      <c r="A119" s="7">
        <v>118</v>
      </c>
      <c r="B119" s="221"/>
      <c r="C119" s="221"/>
      <c r="D119" s="223"/>
      <c r="E119" s="54"/>
      <c r="F119" s="16">
        <v>82.857140000000001</v>
      </c>
      <c r="G119" s="8">
        <v>10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17">
        <v>0</v>
      </c>
      <c r="T119" s="8">
        <v>7.1428570000000002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14">
        <f t="shared" si="17"/>
        <v>99.999997000000008</v>
      </c>
      <c r="AE119" s="8">
        <v>0</v>
      </c>
      <c r="AF119" s="8">
        <v>0</v>
      </c>
      <c r="AG119" s="8">
        <v>0</v>
      </c>
      <c r="AH119" s="8">
        <v>0</v>
      </c>
      <c r="AI119" s="39" t="s">
        <v>1531</v>
      </c>
      <c r="AJ119" s="7">
        <v>120</v>
      </c>
      <c r="AK119" s="62">
        <v>1373</v>
      </c>
      <c r="AL119" s="193">
        <f>67.45/102.25*100</f>
        <v>65.965770171149146</v>
      </c>
      <c r="AM119" s="192">
        <f>29/102.25*100</f>
        <v>28.361858190709043</v>
      </c>
      <c r="AN119" s="192">
        <f>5.8/102.25*100</f>
        <v>5.6723716381418088</v>
      </c>
      <c r="AO119" s="85"/>
      <c r="AP119" s="85"/>
      <c r="AQ119" s="85"/>
      <c r="AR119" s="85"/>
      <c r="AS119" s="85"/>
      <c r="AT119" s="205"/>
      <c r="AU119" s="85">
        <v>1</v>
      </c>
      <c r="AV119" s="196">
        <f t="shared" si="16"/>
        <v>100</v>
      </c>
      <c r="AW119" s="85"/>
      <c r="AX119" s="85"/>
      <c r="AY119" s="39"/>
      <c r="AZ119" s="7"/>
      <c r="BA119" s="62"/>
      <c r="BB119" s="7"/>
      <c r="BC119" s="7"/>
      <c r="BD119" s="7"/>
      <c r="BE119" s="7"/>
      <c r="BF119" s="39"/>
      <c r="BG119" s="7"/>
      <c r="BH119" s="62"/>
      <c r="BI119" s="7"/>
      <c r="BJ119" s="32"/>
      <c r="BK119" s="223"/>
    </row>
    <row r="120" spans="1:63" ht="23.25" customHeight="1" x14ac:dyDescent="0.2">
      <c r="A120" s="62">
        <v>119</v>
      </c>
      <c r="B120" s="221"/>
      <c r="C120" s="221"/>
      <c r="D120" s="223"/>
      <c r="E120" s="54"/>
      <c r="F120" s="16">
        <v>82.857140000000001</v>
      </c>
      <c r="G120" s="8">
        <v>10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17">
        <v>0</v>
      </c>
      <c r="T120" s="8">
        <v>7.1428570000000002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14">
        <f t="shared" si="17"/>
        <v>99.999997000000008</v>
      </c>
      <c r="AE120" s="8">
        <v>0</v>
      </c>
      <c r="AF120" s="8">
        <v>0</v>
      </c>
      <c r="AG120" s="8">
        <v>0</v>
      </c>
      <c r="AH120" s="8">
        <v>0</v>
      </c>
      <c r="AI120" s="39" t="s">
        <v>1531</v>
      </c>
      <c r="AJ120" s="7">
        <v>144</v>
      </c>
      <c r="AK120" s="62">
        <v>1373</v>
      </c>
      <c r="AL120" s="193">
        <f>99.8/102.3*100</f>
        <v>97.556207233626594</v>
      </c>
      <c r="AM120" s="192">
        <f>1.8/102.3*100</f>
        <v>1.7595307917888565</v>
      </c>
      <c r="AN120" s="192">
        <f>0.7/102.3*100</f>
        <v>0.68426197458455518</v>
      </c>
      <c r="AO120" s="85"/>
      <c r="AP120" s="85"/>
      <c r="AQ120" s="85"/>
      <c r="AR120" s="85"/>
      <c r="AS120" s="85"/>
      <c r="AT120" s="205"/>
      <c r="AU120" s="85">
        <v>1</v>
      </c>
      <c r="AV120" s="196">
        <f t="shared" si="16"/>
        <v>100.00000000000001</v>
      </c>
      <c r="AW120" s="85"/>
      <c r="AX120" s="85"/>
      <c r="AY120" s="39"/>
      <c r="AZ120" s="7"/>
      <c r="BA120" s="62"/>
      <c r="BB120" s="7"/>
      <c r="BC120" s="7"/>
      <c r="BD120" s="7"/>
      <c r="BE120" s="7"/>
      <c r="BF120" s="39"/>
      <c r="BG120" s="7"/>
      <c r="BH120" s="62"/>
      <c r="BI120" s="7"/>
      <c r="BJ120" s="32"/>
      <c r="BK120" s="223"/>
    </row>
    <row r="121" spans="1:63" ht="23.25" customHeight="1" thickBot="1" x14ac:dyDescent="0.25">
      <c r="A121" s="7">
        <v>120</v>
      </c>
      <c r="B121" s="221"/>
      <c r="C121" s="221"/>
      <c r="D121" s="223"/>
      <c r="E121" s="54"/>
      <c r="F121" s="16">
        <v>82.857140000000001</v>
      </c>
      <c r="G121" s="8">
        <v>10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17">
        <v>0</v>
      </c>
      <c r="T121" s="8">
        <v>7.1428570000000002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14">
        <f t="shared" si="17"/>
        <v>99.999997000000008</v>
      </c>
      <c r="AE121" s="8">
        <v>0</v>
      </c>
      <c r="AF121" s="8">
        <v>0</v>
      </c>
      <c r="AG121" s="8">
        <v>0</v>
      </c>
      <c r="AH121" s="8">
        <v>0</v>
      </c>
      <c r="AI121" s="39" t="s">
        <v>1531</v>
      </c>
      <c r="AJ121" s="7">
        <v>336</v>
      </c>
      <c r="AK121" s="62">
        <v>1373</v>
      </c>
      <c r="AL121" s="193">
        <f>100/104.5*100</f>
        <v>95.693779904306226</v>
      </c>
      <c r="AM121" s="192">
        <f>3/104.5*100</f>
        <v>2.8708133971291865</v>
      </c>
      <c r="AN121" s="192">
        <f>1.5/104.5*100</f>
        <v>1.4354066985645932</v>
      </c>
      <c r="AO121" s="85"/>
      <c r="AP121" s="85"/>
      <c r="AQ121" s="85"/>
      <c r="AR121" s="85"/>
      <c r="AS121" s="85"/>
      <c r="AT121" s="205"/>
      <c r="AU121" s="85">
        <v>1</v>
      </c>
      <c r="AV121" s="196">
        <f t="shared" si="16"/>
        <v>100</v>
      </c>
      <c r="AW121" s="85"/>
      <c r="AX121" s="85"/>
      <c r="AY121" s="39"/>
      <c r="AZ121" s="7"/>
      <c r="BA121" s="62"/>
      <c r="BB121" s="7"/>
      <c r="BC121" s="7"/>
      <c r="BD121" s="7"/>
      <c r="BE121" s="7"/>
      <c r="BF121" s="39"/>
      <c r="BG121" s="7"/>
      <c r="BH121" s="62"/>
      <c r="BI121" s="7"/>
      <c r="BJ121" s="32"/>
      <c r="BK121" s="223"/>
    </row>
    <row r="122" spans="1:63" s="19" customFormat="1" ht="23.25" customHeight="1" thickBot="1" x14ac:dyDescent="0.25">
      <c r="A122" s="62">
        <v>121</v>
      </c>
      <c r="B122" s="70">
        <v>14</v>
      </c>
      <c r="C122" s="70" t="s">
        <v>1582</v>
      </c>
      <c r="D122" s="21" t="s">
        <v>27</v>
      </c>
      <c r="E122" s="21"/>
      <c r="F122" s="99">
        <v>80.928569999999993</v>
      </c>
      <c r="G122" s="100">
        <v>8.5714290000000002</v>
      </c>
      <c r="H122" s="100">
        <v>0</v>
      </c>
      <c r="I122" s="100">
        <v>0</v>
      </c>
      <c r="J122" s="100">
        <v>3.3571430000000002</v>
      </c>
      <c r="K122" s="100">
        <v>0</v>
      </c>
      <c r="L122" s="100">
        <v>0</v>
      </c>
      <c r="M122" s="100">
        <v>0</v>
      </c>
      <c r="N122" s="100">
        <v>0</v>
      </c>
      <c r="O122" s="100">
        <v>0</v>
      </c>
      <c r="P122" s="100">
        <v>0</v>
      </c>
      <c r="Q122" s="100">
        <v>0</v>
      </c>
      <c r="R122" s="100">
        <v>0</v>
      </c>
      <c r="S122" s="101">
        <v>0</v>
      </c>
      <c r="T122" s="100">
        <v>7.1428570000000002</v>
      </c>
      <c r="U122" s="100">
        <v>0</v>
      </c>
      <c r="V122" s="100">
        <v>0</v>
      </c>
      <c r="W122" s="100">
        <v>0</v>
      </c>
      <c r="X122" s="100">
        <v>0</v>
      </c>
      <c r="Y122" s="100">
        <v>0</v>
      </c>
      <c r="Z122" s="100">
        <v>0</v>
      </c>
      <c r="AA122" s="100">
        <v>0</v>
      </c>
      <c r="AB122" s="100">
        <v>0</v>
      </c>
      <c r="AC122" s="100">
        <v>0</v>
      </c>
      <c r="AD122" s="102">
        <f t="shared" si="17"/>
        <v>99.999998999999988</v>
      </c>
      <c r="AE122" s="100">
        <v>0</v>
      </c>
      <c r="AF122" s="100">
        <v>0</v>
      </c>
      <c r="AG122" s="100">
        <v>0</v>
      </c>
      <c r="AH122" s="100">
        <v>0</v>
      </c>
      <c r="AI122" s="120" t="s">
        <v>1531</v>
      </c>
      <c r="AJ122" s="103"/>
      <c r="AK122" s="104"/>
      <c r="AL122" s="206"/>
      <c r="AM122" s="194"/>
      <c r="AN122" s="194"/>
      <c r="AO122" s="194"/>
      <c r="AP122" s="194"/>
      <c r="AQ122" s="194"/>
      <c r="AR122" s="194"/>
      <c r="AS122" s="194"/>
      <c r="AT122" s="207"/>
      <c r="AU122" s="194"/>
      <c r="AV122" s="208"/>
      <c r="AW122" s="194">
        <v>11.48</v>
      </c>
      <c r="AX122" s="194"/>
      <c r="AY122" s="120">
        <v>0</v>
      </c>
      <c r="AZ122" s="98">
        <v>250</v>
      </c>
      <c r="BA122" s="105"/>
      <c r="BB122" s="98"/>
      <c r="BC122" s="98"/>
      <c r="BD122" s="98"/>
      <c r="BE122" s="98"/>
      <c r="BF122" s="120"/>
      <c r="BG122" s="98"/>
      <c r="BH122" s="105"/>
      <c r="BI122" s="98"/>
      <c r="BJ122" s="70"/>
      <c r="BK122" s="21" t="s">
        <v>1740</v>
      </c>
    </row>
    <row r="123" spans="1:63" ht="23.25" customHeight="1" x14ac:dyDescent="0.2">
      <c r="A123" s="7">
        <v>122</v>
      </c>
      <c r="B123" s="221">
        <v>15</v>
      </c>
      <c r="C123" s="221" t="s">
        <v>1581</v>
      </c>
      <c r="D123" s="225" t="s">
        <v>17</v>
      </c>
      <c r="E123" s="54"/>
      <c r="F123" s="16">
        <v>82.857140000000001</v>
      </c>
      <c r="G123" s="8">
        <v>10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17">
        <v>0</v>
      </c>
      <c r="T123" s="8">
        <v>7.1428570000000002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14">
        <f t="shared" si="17"/>
        <v>99.999997000000008</v>
      </c>
      <c r="AE123" s="8">
        <v>0</v>
      </c>
      <c r="AF123" s="8">
        <v>0</v>
      </c>
      <c r="AG123" s="8">
        <v>0</v>
      </c>
      <c r="AH123" s="8">
        <v>0</v>
      </c>
      <c r="AI123" s="39" t="s">
        <v>1531</v>
      </c>
      <c r="AJ123" s="7"/>
      <c r="AK123" s="62"/>
      <c r="AL123" s="158">
        <v>95</v>
      </c>
      <c r="AM123" s="85"/>
      <c r="AN123" s="85"/>
      <c r="AO123" s="85"/>
      <c r="AP123" s="85"/>
      <c r="AQ123" s="85"/>
      <c r="AR123" s="85"/>
      <c r="AS123" s="85"/>
      <c r="AT123" s="205"/>
      <c r="AU123" s="85"/>
      <c r="AV123" s="196">
        <f t="shared" si="16"/>
        <v>95</v>
      </c>
      <c r="AW123" s="85"/>
      <c r="AX123" s="85"/>
      <c r="AY123" s="39">
        <v>0.01</v>
      </c>
      <c r="AZ123" s="7">
        <v>198</v>
      </c>
      <c r="BA123" s="62">
        <v>2</v>
      </c>
      <c r="BB123" s="7">
        <v>2</v>
      </c>
      <c r="BC123" s="7">
        <v>19.899999999999999</v>
      </c>
      <c r="BD123" s="7">
        <v>200.8</v>
      </c>
      <c r="BE123" s="7">
        <v>10.3</v>
      </c>
      <c r="BF123" s="39"/>
      <c r="BG123" s="7"/>
      <c r="BH123" s="62"/>
      <c r="BI123" s="7"/>
      <c r="BJ123" s="32"/>
      <c r="BK123" s="223" t="s">
        <v>1739</v>
      </c>
    </row>
    <row r="124" spans="1:63" ht="23.25" customHeight="1" x14ac:dyDescent="0.2">
      <c r="A124" s="62">
        <v>123</v>
      </c>
      <c r="B124" s="221"/>
      <c r="C124" s="221"/>
      <c r="D124" s="223"/>
      <c r="E124" s="54"/>
      <c r="F124" s="16">
        <v>82.857140000000001</v>
      </c>
      <c r="G124" s="8">
        <v>10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17">
        <v>0</v>
      </c>
      <c r="T124" s="8">
        <v>7.1428570000000002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14">
        <f t="shared" si="17"/>
        <v>99.999997000000008</v>
      </c>
      <c r="AE124" s="8">
        <v>0</v>
      </c>
      <c r="AF124" s="8">
        <v>0</v>
      </c>
      <c r="AG124" s="8">
        <v>0</v>
      </c>
      <c r="AH124" s="8">
        <v>0</v>
      </c>
      <c r="AI124" s="63" t="s">
        <v>1531</v>
      </c>
      <c r="AJ124" s="7"/>
      <c r="AK124" s="62"/>
      <c r="AL124" s="158"/>
      <c r="AM124" s="85"/>
      <c r="AN124" s="85"/>
      <c r="AO124" s="85"/>
      <c r="AP124" s="85"/>
      <c r="AQ124" s="85"/>
      <c r="AR124" s="85"/>
      <c r="AS124" s="85"/>
      <c r="AT124" s="205"/>
      <c r="AU124" s="85"/>
      <c r="AV124" s="196"/>
      <c r="AW124" s="85"/>
      <c r="AX124" s="85"/>
      <c r="AY124" s="39">
        <v>0.01</v>
      </c>
      <c r="AZ124" s="7">
        <v>202</v>
      </c>
      <c r="BA124" s="62">
        <v>0.4</v>
      </c>
      <c r="BB124" s="7">
        <v>2</v>
      </c>
      <c r="BC124" s="7">
        <v>13.5</v>
      </c>
      <c r="BD124" s="7">
        <v>203</v>
      </c>
      <c r="BE124" s="7">
        <v>10.3</v>
      </c>
      <c r="BF124" s="39"/>
      <c r="BG124" s="7"/>
      <c r="BH124" s="62"/>
      <c r="BI124" s="7"/>
      <c r="BJ124" s="32"/>
      <c r="BK124" s="223"/>
    </row>
    <row r="125" spans="1:63" ht="23.25" customHeight="1" x14ac:dyDescent="0.2">
      <c r="A125" s="7">
        <v>124</v>
      </c>
      <c r="B125" s="221"/>
      <c r="C125" s="221"/>
      <c r="D125" s="54" t="s">
        <v>41</v>
      </c>
      <c r="E125" s="54"/>
      <c r="F125" s="16">
        <f>11.35/14*100</f>
        <v>81.071428571428569</v>
      </c>
      <c r="G125" s="8">
        <f>1.26/14*100</f>
        <v>9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f>0.39/14*100</f>
        <v>2.7857142857142856</v>
      </c>
      <c r="Q125" s="8">
        <v>0</v>
      </c>
      <c r="R125" s="8">
        <v>0</v>
      </c>
      <c r="S125" s="17">
        <v>0</v>
      </c>
      <c r="T125" s="8">
        <v>7.1428570000000002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14">
        <f t="shared" si="17"/>
        <v>99.999999857142868</v>
      </c>
      <c r="AE125" s="8">
        <f>1.53/14*100</f>
        <v>10.928571428571429</v>
      </c>
      <c r="AF125" s="8">
        <v>0</v>
      </c>
      <c r="AG125" s="8">
        <v>0</v>
      </c>
      <c r="AH125" s="8">
        <v>0</v>
      </c>
      <c r="AJ125" s="7"/>
      <c r="AK125" s="62"/>
      <c r="AL125" s="158"/>
      <c r="AM125" s="85"/>
      <c r="AN125" s="85"/>
      <c r="AO125" s="85"/>
      <c r="AP125" s="85"/>
      <c r="AQ125" s="85"/>
      <c r="AR125" s="85"/>
      <c r="AS125" s="85"/>
      <c r="AT125" s="205"/>
      <c r="AU125" s="85"/>
      <c r="AV125" s="196"/>
      <c r="AW125" s="85"/>
      <c r="AX125" s="85"/>
      <c r="AY125" s="39"/>
      <c r="AZ125" s="7"/>
      <c r="BA125" s="62"/>
      <c r="BB125" s="7"/>
      <c r="BC125" s="7"/>
      <c r="BD125" s="7"/>
      <c r="BE125" s="7"/>
      <c r="BF125" s="39">
        <v>1.93</v>
      </c>
      <c r="BG125" s="7"/>
      <c r="BH125" s="62">
        <v>283.3</v>
      </c>
      <c r="BI125" s="7"/>
      <c r="BJ125" s="32"/>
      <c r="BK125" s="223"/>
    </row>
    <row r="126" spans="1:63" ht="23.25" customHeight="1" x14ac:dyDescent="0.2">
      <c r="A126" s="62">
        <v>125</v>
      </c>
      <c r="B126" s="221"/>
      <c r="C126" s="221"/>
      <c r="D126" s="54" t="s">
        <v>298</v>
      </c>
      <c r="E126" s="54"/>
      <c r="F126" s="16">
        <f>11.37/14*100</f>
        <v>81.214285714285708</v>
      </c>
      <c r="G126" s="8">
        <f t="shared" ref="G126:G129" si="18">1.26/14*100</f>
        <v>9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f>0.37/14*100</f>
        <v>2.6428571428571428</v>
      </c>
      <c r="Q126" s="8">
        <v>0</v>
      </c>
      <c r="R126" s="8">
        <v>0</v>
      </c>
      <c r="S126" s="17">
        <v>0</v>
      </c>
      <c r="T126" s="8">
        <v>7.1428570000000002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14">
        <f t="shared" si="17"/>
        <v>99.999999857142853</v>
      </c>
      <c r="AE126" s="8">
        <f>1.54/14*100</f>
        <v>11</v>
      </c>
      <c r="AF126" s="8">
        <v>0</v>
      </c>
      <c r="AG126" s="8">
        <v>0</v>
      </c>
      <c r="AH126" s="8">
        <v>0</v>
      </c>
      <c r="AJ126" s="7"/>
      <c r="AK126" s="62"/>
      <c r="AL126" s="158"/>
      <c r="AM126" s="85"/>
      <c r="AN126" s="85"/>
      <c r="AO126" s="85"/>
      <c r="AP126" s="85"/>
      <c r="AQ126" s="85"/>
      <c r="AR126" s="85"/>
      <c r="AS126" s="85"/>
      <c r="AT126" s="205"/>
      <c r="AU126" s="85"/>
      <c r="AV126" s="196"/>
      <c r="AW126" s="85"/>
      <c r="AX126" s="85"/>
      <c r="AY126" s="39"/>
      <c r="AZ126" s="7"/>
      <c r="BA126" s="62"/>
      <c r="BB126" s="7"/>
      <c r="BC126" s="7"/>
      <c r="BD126" s="7"/>
      <c r="BE126" s="7"/>
      <c r="BF126" s="39">
        <v>1.93</v>
      </c>
      <c r="BG126" s="7">
        <v>4.2</v>
      </c>
      <c r="BH126" s="62">
        <v>287.2</v>
      </c>
      <c r="BI126" s="7"/>
      <c r="BJ126" s="32"/>
      <c r="BK126" s="223"/>
    </row>
    <row r="127" spans="1:63" ht="23.25" customHeight="1" x14ac:dyDescent="0.2">
      <c r="A127" s="7">
        <v>126</v>
      </c>
      <c r="B127" s="221"/>
      <c r="C127" s="221"/>
      <c r="D127" s="54" t="s">
        <v>42</v>
      </c>
      <c r="E127" s="54"/>
      <c r="F127" s="16">
        <f>11.38/14*100</f>
        <v>81.285714285714292</v>
      </c>
      <c r="G127" s="8">
        <f t="shared" si="18"/>
        <v>9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f>0.36/14*100</f>
        <v>2.5714285714285712</v>
      </c>
      <c r="Q127" s="8">
        <v>0</v>
      </c>
      <c r="R127" s="8">
        <v>0</v>
      </c>
      <c r="S127" s="17">
        <v>0</v>
      </c>
      <c r="T127" s="8">
        <v>7.1428570000000002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14">
        <f t="shared" si="17"/>
        <v>99.999999857142868</v>
      </c>
      <c r="AE127" s="8">
        <f>1.52/14*100</f>
        <v>10.857142857142858</v>
      </c>
      <c r="AF127" s="8">
        <v>0</v>
      </c>
      <c r="AG127" s="8">
        <v>0</v>
      </c>
      <c r="AH127" s="8">
        <v>0</v>
      </c>
      <c r="AJ127" s="7"/>
      <c r="AK127" s="62"/>
      <c r="AL127" s="158"/>
      <c r="AM127" s="85"/>
      <c r="AN127" s="85"/>
      <c r="AO127" s="85"/>
      <c r="AP127" s="85"/>
      <c r="AQ127" s="85"/>
      <c r="AR127" s="85"/>
      <c r="AS127" s="85"/>
      <c r="AT127" s="205"/>
      <c r="AU127" s="85"/>
      <c r="AV127" s="196"/>
      <c r="AW127" s="85"/>
      <c r="AX127" s="85"/>
      <c r="AY127" s="39"/>
      <c r="AZ127" s="7"/>
      <c r="BA127" s="62"/>
      <c r="BB127" s="7"/>
      <c r="BC127" s="7"/>
      <c r="BD127" s="7"/>
      <c r="BE127" s="7"/>
      <c r="BF127" s="39">
        <v>1.93</v>
      </c>
      <c r="BG127" s="7">
        <v>4.4000000000000004</v>
      </c>
      <c r="BH127" s="62">
        <v>290</v>
      </c>
      <c r="BI127" s="7"/>
      <c r="BJ127" s="32"/>
      <c r="BK127" s="223"/>
    </row>
    <row r="128" spans="1:63" ht="23.25" customHeight="1" x14ac:dyDescent="0.2">
      <c r="A128" s="62">
        <v>127</v>
      </c>
      <c r="B128" s="221"/>
      <c r="C128" s="221"/>
      <c r="D128" s="54" t="s">
        <v>43</v>
      </c>
      <c r="E128" s="54"/>
      <c r="F128" s="16">
        <f>11.4/14*100</f>
        <v>81.428571428571431</v>
      </c>
      <c r="G128" s="8">
        <f t="shared" si="18"/>
        <v>9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f>0.34/14*100</f>
        <v>2.4285714285714288</v>
      </c>
      <c r="Q128" s="8">
        <v>0</v>
      </c>
      <c r="R128" s="8">
        <v>0</v>
      </c>
      <c r="S128" s="17">
        <v>0</v>
      </c>
      <c r="T128" s="8">
        <v>7.1428570000000002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14">
        <f t="shared" si="17"/>
        <v>99.999999857142868</v>
      </c>
      <c r="AE128" s="8">
        <f>1.52/14*100</f>
        <v>10.857142857142858</v>
      </c>
      <c r="AF128" s="8">
        <v>0</v>
      </c>
      <c r="AG128" s="8">
        <v>0</v>
      </c>
      <c r="AH128" s="8">
        <v>0</v>
      </c>
      <c r="AJ128" s="7"/>
      <c r="AK128" s="62"/>
      <c r="AL128" s="158"/>
      <c r="AM128" s="85"/>
      <c r="AN128" s="85"/>
      <c r="AO128" s="85"/>
      <c r="AP128" s="85"/>
      <c r="AQ128" s="85"/>
      <c r="AR128" s="85"/>
      <c r="AS128" s="85"/>
      <c r="AT128" s="205"/>
      <c r="AU128" s="85"/>
      <c r="AV128" s="196"/>
      <c r="AW128" s="85"/>
      <c r="AX128" s="85"/>
      <c r="AY128" s="39"/>
      <c r="AZ128" s="7"/>
      <c r="BA128" s="62"/>
      <c r="BB128" s="7"/>
      <c r="BC128" s="7"/>
      <c r="BD128" s="7"/>
      <c r="BE128" s="7"/>
      <c r="BF128" s="39">
        <v>1.93</v>
      </c>
      <c r="BG128" s="7">
        <v>4.5</v>
      </c>
      <c r="BH128" s="62">
        <v>293.2</v>
      </c>
      <c r="BI128" s="7"/>
      <c r="BJ128" s="32"/>
      <c r="BK128" s="223"/>
    </row>
    <row r="129" spans="1:63" ht="23.25" customHeight="1" x14ac:dyDescent="0.2">
      <c r="A129" s="7">
        <v>128</v>
      </c>
      <c r="B129" s="221"/>
      <c r="C129" s="221"/>
      <c r="D129" s="54" t="s">
        <v>44</v>
      </c>
      <c r="E129" s="54"/>
      <c r="F129" s="16">
        <f>11.42/14*100</f>
        <v>81.571428571428569</v>
      </c>
      <c r="G129" s="8">
        <f t="shared" si="18"/>
        <v>9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f>0.32/14*100</f>
        <v>2.2857142857142856</v>
      </c>
      <c r="Q129" s="8">
        <v>0</v>
      </c>
      <c r="R129" s="8">
        <v>0</v>
      </c>
      <c r="S129" s="17">
        <v>0</v>
      </c>
      <c r="T129" s="8">
        <v>7.1428570000000002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14">
        <f t="shared" si="17"/>
        <v>99.999999857142868</v>
      </c>
      <c r="AE129" s="8">
        <f>1.53/14*100</f>
        <v>10.928571428571429</v>
      </c>
      <c r="AF129" s="8">
        <v>0</v>
      </c>
      <c r="AG129" s="8">
        <v>0</v>
      </c>
      <c r="AH129" s="8">
        <v>0</v>
      </c>
      <c r="AJ129" s="7"/>
      <c r="AK129" s="62"/>
      <c r="AL129" s="158"/>
      <c r="AM129" s="85"/>
      <c r="AN129" s="85"/>
      <c r="AO129" s="85"/>
      <c r="AP129" s="85"/>
      <c r="AQ129" s="85"/>
      <c r="AR129" s="85"/>
      <c r="AS129" s="85"/>
      <c r="AT129" s="205"/>
      <c r="AU129" s="85"/>
      <c r="AV129" s="196"/>
      <c r="AW129" s="85"/>
      <c r="AX129" s="85"/>
      <c r="AY129" s="39"/>
      <c r="AZ129" s="7"/>
      <c r="BA129" s="62"/>
      <c r="BB129" s="7"/>
      <c r="BC129" s="7"/>
      <c r="BD129" s="7"/>
      <c r="BE129" s="7"/>
      <c r="BF129" s="39">
        <v>1.93</v>
      </c>
      <c r="BG129" s="7">
        <v>4.0999999999999996</v>
      </c>
      <c r="BH129" s="62">
        <v>296.10000000000002</v>
      </c>
      <c r="BI129" s="7"/>
      <c r="BJ129" s="32"/>
      <c r="BK129" s="223"/>
    </row>
    <row r="130" spans="1:63" ht="23.25" customHeight="1" thickBot="1" x14ac:dyDescent="0.25">
      <c r="A130" s="62">
        <v>129</v>
      </c>
      <c r="B130" s="221"/>
      <c r="C130" s="221"/>
      <c r="D130" s="54" t="s">
        <v>22</v>
      </c>
      <c r="E130" s="54"/>
      <c r="F130" s="16">
        <f>11.4/14.01*100</f>
        <v>81.370449678800867</v>
      </c>
      <c r="G130" s="8">
        <f>1.09/14.01*100</f>
        <v>7.7801570306923642</v>
      </c>
      <c r="H130" s="8">
        <v>0</v>
      </c>
      <c r="I130" s="8">
        <v>0</v>
      </c>
      <c r="J130" s="8">
        <f>0.52/14.01*100</f>
        <v>3.7116345467523204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17">
        <v>0</v>
      </c>
      <c r="T130" s="8">
        <f>1/14.01*100</f>
        <v>7.1377587437544614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14">
        <f t="shared" si="17"/>
        <v>100.00000000000001</v>
      </c>
      <c r="AE130" s="8">
        <v>0</v>
      </c>
      <c r="AF130" s="8">
        <v>0</v>
      </c>
      <c r="AG130" s="8">
        <v>0</v>
      </c>
      <c r="AH130" s="8">
        <v>0</v>
      </c>
      <c r="AJ130" s="7"/>
      <c r="AK130" s="62"/>
      <c r="AL130" s="158"/>
      <c r="AM130" s="85"/>
      <c r="AN130" s="85"/>
      <c r="AO130" s="85"/>
      <c r="AP130" s="85"/>
      <c r="AQ130" s="85"/>
      <c r="AR130" s="85"/>
      <c r="AS130" s="85"/>
      <c r="AT130" s="205"/>
      <c r="AU130" s="85"/>
      <c r="AV130" s="196"/>
      <c r="AW130" s="85"/>
      <c r="AX130" s="85"/>
      <c r="AY130" s="39"/>
      <c r="AZ130" s="7">
        <v>240</v>
      </c>
      <c r="BA130" s="62"/>
      <c r="BB130" s="7"/>
      <c r="BC130" s="7"/>
      <c r="BD130" s="7"/>
      <c r="BE130" s="7"/>
      <c r="BF130" s="39"/>
      <c r="BG130" s="7"/>
      <c r="BH130" s="62"/>
      <c r="BI130" s="7">
        <v>7.24</v>
      </c>
      <c r="BJ130" s="32"/>
      <c r="BK130" s="223"/>
    </row>
    <row r="131" spans="1:63" s="4" customFormat="1" ht="23.25" customHeight="1" x14ac:dyDescent="0.2">
      <c r="A131" s="7">
        <v>130</v>
      </c>
      <c r="B131" s="238">
        <v>19</v>
      </c>
      <c r="C131" s="238" t="s">
        <v>1580</v>
      </c>
      <c r="D131" s="12" t="s">
        <v>28</v>
      </c>
      <c r="E131" s="12"/>
      <c r="F131" s="87">
        <v>81.714290000000005</v>
      </c>
      <c r="G131" s="88">
        <v>11.142860000000001</v>
      </c>
      <c r="H131" s="88">
        <v>0</v>
      </c>
      <c r="I131" s="88">
        <v>0</v>
      </c>
      <c r="J131" s="88">
        <v>0</v>
      </c>
      <c r="K131" s="88">
        <v>0</v>
      </c>
      <c r="L131" s="88">
        <v>0</v>
      </c>
      <c r="M131" s="88">
        <v>0</v>
      </c>
      <c r="N131" s="88">
        <v>0</v>
      </c>
      <c r="O131" s="88">
        <v>0</v>
      </c>
      <c r="P131" s="88">
        <v>0</v>
      </c>
      <c r="Q131" s="88">
        <v>0</v>
      </c>
      <c r="R131" s="88">
        <v>0</v>
      </c>
      <c r="S131" s="89">
        <v>0</v>
      </c>
      <c r="T131" s="88">
        <v>7.1428570000000002</v>
      </c>
      <c r="U131" s="88">
        <v>0</v>
      </c>
      <c r="V131" s="88">
        <v>0</v>
      </c>
      <c r="W131" s="88">
        <v>0</v>
      </c>
      <c r="X131" s="88">
        <v>0</v>
      </c>
      <c r="Y131" s="88">
        <v>0</v>
      </c>
      <c r="Z131" s="88">
        <v>0</v>
      </c>
      <c r="AA131" s="88">
        <v>0</v>
      </c>
      <c r="AB131" s="88">
        <v>0</v>
      </c>
      <c r="AC131" s="88">
        <v>0</v>
      </c>
      <c r="AD131" s="90">
        <f t="shared" si="17"/>
        <v>100.00000700000001</v>
      </c>
      <c r="AE131" s="88">
        <v>0</v>
      </c>
      <c r="AF131" s="88">
        <v>0</v>
      </c>
      <c r="AG131" s="88">
        <v>0</v>
      </c>
      <c r="AH131" s="88">
        <v>0</v>
      </c>
      <c r="AI131" s="156" t="s">
        <v>1531</v>
      </c>
      <c r="AJ131" s="45">
        <v>240</v>
      </c>
      <c r="AK131" s="91">
        <v>1323</v>
      </c>
      <c r="AL131" s="197"/>
      <c r="AM131" s="189"/>
      <c r="AN131" s="189"/>
      <c r="AO131" s="189"/>
      <c r="AP131" s="189"/>
      <c r="AQ131" s="189"/>
      <c r="AR131" s="189"/>
      <c r="AS131" s="189"/>
      <c r="AT131" s="198"/>
      <c r="AU131" s="189"/>
      <c r="AV131" s="199"/>
      <c r="AW131" s="189"/>
      <c r="AX131" s="189"/>
      <c r="AY131" s="156">
        <v>0</v>
      </c>
      <c r="AZ131" s="45">
        <v>195</v>
      </c>
      <c r="BA131" s="91"/>
      <c r="BB131" s="45"/>
      <c r="BC131" s="45"/>
      <c r="BD131" s="45"/>
      <c r="BE131" s="45"/>
      <c r="BF131" s="156"/>
      <c r="BG131" s="45"/>
      <c r="BH131" s="91"/>
      <c r="BI131" s="45"/>
      <c r="BJ131" s="67"/>
      <c r="BK131" s="225" t="s">
        <v>1738</v>
      </c>
    </row>
    <row r="132" spans="1:63" s="6" customFormat="1" ht="23.25" customHeight="1" thickBot="1" x14ac:dyDescent="0.25">
      <c r="A132" s="62">
        <v>131</v>
      </c>
      <c r="B132" s="222"/>
      <c r="C132" s="222"/>
      <c r="D132" s="13" t="s">
        <v>29</v>
      </c>
      <c r="E132" s="13"/>
      <c r="F132" s="80">
        <v>81.714290000000005</v>
      </c>
      <c r="G132" s="81">
        <v>11.142860000000001</v>
      </c>
      <c r="H132" s="81">
        <v>0</v>
      </c>
      <c r="I132" s="81">
        <v>0</v>
      </c>
      <c r="J132" s="81">
        <v>0</v>
      </c>
      <c r="K132" s="81">
        <v>0</v>
      </c>
      <c r="L132" s="81">
        <v>0</v>
      </c>
      <c r="M132" s="81">
        <v>0</v>
      </c>
      <c r="N132" s="81">
        <v>0</v>
      </c>
      <c r="O132" s="81">
        <v>0</v>
      </c>
      <c r="P132" s="81">
        <v>0</v>
      </c>
      <c r="Q132" s="81">
        <v>0</v>
      </c>
      <c r="R132" s="81">
        <v>0</v>
      </c>
      <c r="S132" s="82">
        <v>0</v>
      </c>
      <c r="T132" s="81">
        <v>7.1428570000000002</v>
      </c>
      <c r="U132" s="81">
        <v>0</v>
      </c>
      <c r="V132" s="81">
        <v>0</v>
      </c>
      <c r="W132" s="81">
        <v>0</v>
      </c>
      <c r="X132" s="81">
        <v>0</v>
      </c>
      <c r="Y132" s="81">
        <v>0</v>
      </c>
      <c r="Z132" s="81">
        <v>0</v>
      </c>
      <c r="AA132" s="81">
        <v>0</v>
      </c>
      <c r="AB132" s="81">
        <v>0</v>
      </c>
      <c r="AC132" s="81">
        <v>0</v>
      </c>
      <c r="AD132" s="83">
        <f t="shared" si="17"/>
        <v>100.00000700000001</v>
      </c>
      <c r="AE132" s="81">
        <f>1/14*100</f>
        <v>7.1428571428571423</v>
      </c>
      <c r="AF132" s="81">
        <v>0</v>
      </c>
      <c r="AG132" s="81">
        <v>0</v>
      </c>
      <c r="AH132" s="81">
        <v>0</v>
      </c>
      <c r="AI132" s="79" t="s">
        <v>1531</v>
      </c>
      <c r="AJ132" s="65">
        <v>240</v>
      </c>
      <c r="AK132" s="78">
        <v>1323</v>
      </c>
      <c r="AL132" s="200"/>
      <c r="AM132" s="190"/>
      <c r="AN132" s="190"/>
      <c r="AO132" s="190"/>
      <c r="AP132" s="190"/>
      <c r="AQ132" s="190"/>
      <c r="AR132" s="190"/>
      <c r="AS132" s="190"/>
      <c r="AT132" s="201"/>
      <c r="AU132" s="190"/>
      <c r="AV132" s="202"/>
      <c r="AW132" s="190"/>
      <c r="AX132" s="190"/>
      <c r="AY132" s="79">
        <v>0</v>
      </c>
      <c r="AZ132" s="65">
        <v>274</v>
      </c>
      <c r="BA132" s="78"/>
      <c r="BB132" s="65"/>
      <c r="BC132" s="65"/>
      <c r="BD132" s="65"/>
      <c r="BE132" s="65"/>
      <c r="BF132" s="79"/>
      <c r="BG132" s="65"/>
      <c r="BH132" s="78"/>
      <c r="BI132" s="65"/>
      <c r="BJ132" s="68"/>
      <c r="BK132" s="224"/>
    </row>
    <row r="133" spans="1:63" ht="23.25" customHeight="1" x14ac:dyDescent="0.2">
      <c r="A133" s="7">
        <v>132</v>
      </c>
      <c r="B133" s="221">
        <v>23</v>
      </c>
      <c r="C133" s="221" t="s">
        <v>1579</v>
      </c>
      <c r="D133" s="225" t="s">
        <v>306</v>
      </c>
      <c r="E133" s="54" t="s">
        <v>302</v>
      </c>
      <c r="F133" s="16">
        <v>81.714285700000005</v>
      </c>
      <c r="G133" s="8">
        <v>11.142849999999999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17">
        <v>0</v>
      </c>
      <c r="T133" s="8">
        <v>7.1428570000000002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14">
        <f t="shared" si="17"/>
        <v>99.999992700000007</v>
      </c>
      <c r="AE133" s="8">
        <v>0</v>
      </c>
      <c r="AF133" s="8">
        <v>0</v>
      </c>
      <c r="AG133" s="8">
        <v>0</v>
      </c>
      <c r="AH133" s="8">
        <v>0</v>
      </c>
      <c r="AI133" s="39" t="s">
        <v>1531</v>
      </c>
      <c r="AJ133" s="7">
        <v>240</v>
      </c>
      <c r="AK133" s="62">
        <v>1323</v>
      </c>
      <c r="AL133" s="158"/>
      <c r="AM133" s="85"/>
      <c r="AN133" s="85"/>
      <c r="AO133" s="85"/>
      <c r="AP133" s="85"/>
      <c r="AQ133" s="85"/>
      <c r="AR133" s="85"/>
      <c r="AS133" s="85"/>
      <c r="AT133" s="205"/>
      <c r="AU133" s="85"/>
      <c r="AV133" s="196"/>
      <c r="AW133" s="85">
        <v>11.468</v>
      </c>
      <c r="AX133" s="85"/>
      <c r="AY133" s="39">
        <v>0.4</v>
      </c>
      <c r="AZ133" s="7">
        <v>197</v>
      </c>
      <c r="BA133" s="62">
        <v>0.85</v>
      </c>
      <c r="BB133" s="7" t="s">
        <v>1429</v>
      </c>
      <c r="BC133" s="7" t="s">
        <v>1874</v>
      </c>
      <c r="BD133" s="7" t="s">
        <v>1875</v>
      </c>
      <c r="BE133" s="7" t="s">
        <v>1878</v>
      </c>
      <c r="BF133" s="39" t="s">
        <v>1429</v>
      </c>
      <c r="BG133" s="60" t="s">
        <v>1871</v>
      </c>
      <c r="BH133" s="169" t="s">
        <v>1872</v>
      </c>
      <c r="BI133" s="7"/>
      <c r="BJ133" s="32"/>
      <c r="BK133" s="223" t="s">
        <v>1879</v>
      </c>
    </row>
    <row r="134" spans="1:63" ht="23.25" customHeight="1" x14ac:dyDescent="0.2">
      <c r="A134" s="62">
        <v>133</v>
      </c>
      <c r="B134" s="221"/>
      <c r="C134" s="221"/>
      <c r="D134" s="223"/>
      <c r="E134" s="54" t="s">
        <v>299</v>
      </c>
      <c r="F134" s="16">
        <v>81.714290000000005</v>
      </c>
      <c r="G134" s="8">
        <v>11.142860000000001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17">
        <v>0</v>
      </c>
      <c r="T134" s="8">
        <v>6.4285709999999998</v>
      </c>
      <c r="U134" s="8">
        <v>0</v>
      </c>
      <c r="V134" s="8">
        <v>0.71428599999999998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14">
        <f t="shared" si="17"/>
        <v>100.00000700000001</v>
      </c>
      <c r="AE134" s="8">
        <v>0</v>
      </c>
      <c r="AF134" s="8">
        <v>0</v>
      </c>
      <c r="AG134" s="8">
        <v>0</v>
      </c>
      <c r="AH134" s="8">
        <v>0</v>
      </c>
      <c r="AI134" s="39" t="s">
        <v>1531</v>
      </c>
      <c r="AJ134" s="7">
        <v>336</v>
      </c>
      <c r="AK134" s="62">
        <v>1323</v>
      </c>
      <c r="AL134" s="158"/>
      <c r="AM134" s="85"/>
      <c r="AN134" s="85"/>
      <c r="AO134" s="85"/>
      <c r="AP134" s="85"/>
      <c r="AQ134" s="85"/>
      <c r="AR134" s="85"/>
      <c r="AS134" s="85"/>
      <c r="AT134" s="205"/>
      <c r="AU134" s="85"/>
      <c r="AV134" s="196"/>
      <c r="AW134" s="85">
        <v>11.462</v>
      </c>
      <c r="AX134" s="85"/>
      <c r="AY134" s="39">
        <v>0.4</v>
      </c>
      <c r="AZ134" s="7">
        <v>192</v>
      </c>
      <c r="BA134" s="62">
        <v>2</v>
      </c>
      <c r="BB134" s="7"/>
      <c r="BC134" s="7"/>
      <c r="BD134" s="7"/>
      <c r="BE134" s="7"/>
      <c r="BF134" s="39"/>
      <c r="BG134" s="7"/>
      <c r="BH134" s="62"/>
      <c r="BI134" s="7"/>
      <c r="BJ134" s="32"/>
      <c r="BK134" s="223"/>
    </row>
    <row r="135" spans="1:63" ht="23.25" customHeight="1" x14ac:dyDescent="0.2">
      <c r="A135" s="7">
        <v>134</v>
      </c>
      <c r="B135" s="221"/>
      <c r="C135" s="221"/>
      <c r="D135" s="223"/>
      <c r="E135" s="54" t="s">
        <v>300</v>
      </c>
      <c r="F135" s="16">
        <v>81.714290000000005</v>
      </c>
      <c r="G135" s="8">
        <v>11.142860000000001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17">
        <v>0</v>
      </c>
      <c r="T135" s="8">
        <v>5.7142860000000004</v>
      </c>
      <c r="U135" s="8">
        <v>0</v>
      </c>
      <c r="V135" s="8">
        <v>1.428571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14">
        <f t="shared" si="17"/>
        <v>100.00000700000001</v>
      </c>
      <c r="AE135" s="8">
        <v>0</v>
      </c>
      <c r="AF135" s="8">
        <v>0</v>
      </c>
      <c r="AG135" s="8">
        <v>0</v>
      </c>
      <c r="AH135" s="8">
        <v>0</v>
      </c>
      <c r="AI135" s="39" t="s">
        <v>1531</v>
      </c>
      <c r="AJ135" s="7">
        <v>336</v>
      </c>
      <c r="AK135" s="62">
        <v>1373</v>
      </c>
      <c r="AL135" s="158"/>
      <c r="AM135" s="85"/>
      <c r="AN135" s="85"/>
      <c r="AO135" s="85"/>
      <c r="AP135" s="85"/>
      <c r="AQ135" s="85"/>
      <c r="AR135" s="85"/>
      <c r="AS135" s="85"/>
      <c r="AT135" s="205"/>
      <c r="AU135" s="85"/>
      <c r="AV135" s="196"/>
      <c r="AW135" s="85">
        <v>11.457000000000001</v>
      </c>
      <c r="AX135" s="85"/>
      <c r="AY135" s="39">
        <v>0.4</v>
      </c>
      <c r="AZ135" s="7">
        <v>184</v>
      </c>
      <c r="BA135" s="62">
        <v>2</v>
      </c>
      <c r="BB135" s="7"/>
      <c r="BC135" s="7"/>
      <c r="BD135" s="7"/>
      <c r="BE135" s="7"/>
      <c r="BF135" s="39"/>
      <c r="BG135" s="7"/>
      <c r="BH135" s="62"/>
      <c r="BI135" s="7"/>
      <c r="BJ135" s="32"/>
      <c r="BK135" s="223"/>
    </row>
    <row r="136" spans="1:63" ht="23.25" customHeight="1" thickBot="1" x14ac:dyDescent="0.25">
      <c r="A136" s="62">
        <v>135</v>
      </c>
      <c r="B136" s="221"/>
      <c r="C136" s="221"/>
      <c r="D136" s="224"/>
      <c r="E136" s="54" t="s">
        <v>301</v>
      </c>
      <c r="F136" s="16">
        <v>81.714290000000005</v>
      </c>
      <c r="G136" s="8">
        <v>11.142860000000001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17">
        <v>0</v>
      </c>
      <c r="T136" s="8">
        <v>5</v>
      </c>
      <c r="U136" s="8">
        <v>0</v>
      </c>
      <c r="V136" s="8">
        <v>2.1428569999999998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14">
        <f t="shared" si="17"/>
        <v>100.00000700000001</v>
      </c>
      <c r="AE136" s="8">
        <v>0</v>
      </c>
      <c r="AF136" s="8">
        <v>0</v>
      </c>
      <c r="AG136" s="8">
        <v>0</v>
      </c>
      <c r="AH136" s="8">
        <v>0</v>
      </c>
      <c r="AJ136" s="7">
        <v>240</v>
      </c>
      <c r="AK136" s="62">
        <v>1423</v>
      </c>
      <c r="AL136" s="158"/>
      <c r="AM136" s="85"/>
      <c r="AN136" s="85"/>
      <c r="AO136" s="85"/>
      <c r="AP136" s="85"/>
      <c r="AQ136" s="85"/>
      <c r="AR136" s="85"/>
      <c r="AS136" s="85"/>
      <c r="AT136" s="205"/>
      <c r="AU136" s="85"/>
      <c r="AV136" s="196"/>
      <c r="AW136" s="85">
        <v>11.452</v>
      </c>
      <c r="AX136" s="85"/>
      <c r="AY136" s="39">
        <v>0.4</v>
      </c>
      <c r="AZ136" s="7">
        <v>176</v>
      </c>
      <c r="BA136" s="62">
        <v>1.8</v>
      </c>
      <c r="BB136" s="7" t="s">
        <v>1429</v>
      </c>
      <c r="BC136" s="7" t="s">
        <v>1873</v>
      </c>
      <c r="BD136" s="7" t="s">
        <v>1876</v>
      </c>
      <c r="BE136" s="7" t="s">
        <v>1877</v>
      </c>
      <c r="BF136" s="39" t="s">
        <v>1429</v>
      </c>
      <c r="BG136" s="60" t="s">
        <v>1869</v>
      </c>
      <c r="BH136" s="169" t="s">
        <v>1870</v>
      </c>
      <c r="BI136" s="7"/>
      <c r="BJ136" s="32"/>
      <c r="BK136" s="223"/>
    </row>
    <row r="137" spans="1:63" s="4" customFormat="1" ht="23.25" customHeight="1" x14ac:dyDescent="0.2">
      <c r="A137" s="7">
        <v>136</v>
      </c>
      <c r="B137" s="238">
        <v>24</v>
      </c>
      <c r="C137" s="238" t="s">
        <v>1578</v>
      </c>
      <c r="D137" s="225" t="s">
        <v>303</v>
      </c>
      <c r="E137" s="12" t="s">
        <v>307</v>
      </c>
      <c r="F137" s="87">
        <v>79.430000000000007</v>
      </c>
      <c r="G137" s="88">
        <v>0</v>
      </c>
      <c r="H137" s="88">
        <v>8.3571430000000007</v>
      </c>
      <c r="I137" s="88">
        <v>0</v>
      </c>
      <c r="J137" s="88">
        <v>5.07</v>
      </c>
      <c r="K137" s="88">
        <v>0</v>
      </c>
      <c r="L137" s="88">
        <v>0</v>
      </c>
      <c r="M137" s="88">
        <v>0</v>
      </c>
      <c r="N137" s="88">
        <v>0</v>
      </c>
      <c r="O137" s="88">
        <v>0</v>
      </c>
      <c r="P137" s="88">
        <v>0</v>
      </c>
      <c r="Q137" s="88">
        <v>0</v>
      </c>
      <c r="R137" s="88">
        <v>0</v>
      </c>
      <c r="S137" s="89">
        <v>0</v>
      </c>
      <c r="T137" s="88">
        <v>7.1428570000000002</v>
      </c>
      <c r="U137" s="88">
        <v>0</v>
      </c>
      <c r="V137" s="88">
        <v>0</v>
      </c>
      <c r="W137" s="88">
        <v>0</v>
      </c>
      <c r="X137" s="88">
        <v>0</v>
      </c>
      <c r="Y137" s="88">
        <v>0</v>
      </c>
      <c r="Z137" s="88">
        <v>0</v>
      </c>
      <c r="AA137" s="88">
        <v>0</v>
      </c>
      <c r="AB137" s="88">
        <v>0</v>
      </c>
      <c r="AC137" s="88">
        <v>0</v>
      </c>
      <c r="AD137" s="90">
        <f t="shared" si="17"/>
        <v>100.00000000000001</v>
      </c>
      <c r="AE137" s="88">
        <v>0</v>
      </c>
      <c r="AF137" s="88">
        <v>0</v>
      </c>
      <c r="AG137" s="88">
        <v>0</v>
      </c>
      <c r="AH137" s="88">
        <v>0</v>
      </c>
      <c r="AI137" s="156" t="s">
        <v>1531</v>
      </c>
      <c r="AJ137" s="45">
        <v>1200</v>
      </c>
      <c r="AK137" s="91">
        <v>1273</v>
      </c>
      <c r="AL137" s="197">
        <v>100</v>
      </c>
      <c r="AM137" s="189"/>
      <c r="AN137" s="189"/>
      <c r="AO137" s="189"/>
      <c r="AP137" s="189"/>
      <c r="AQ137" s="189"/>
      <c r="AR137" s="189"/>
      <c r="AS137" s="189"/>
      <c r="AT137" s="198"/>
      <c r="AU137" s="189"/>
      <c r="AV137" s="199">
        <f>SUM(AL137:AT137)</f>
        <v>100</v>
      </c>
      <c r="AW137" s="189"/>
      <c r="AX137" s="189"/>
      <c r="AY137" s="156"/>
      <c r="AZ137" s="45">
        <v>273</v>
      </c>
      <c r="BA137" s="91"/>
      <c r="BB137" s="45" t="s">
        <v>524</v>
      </c>
      <c r="BC137" s="45" t="s">
        <v>571</v>
      </c>
      <c r="BD137" s="45" t="s">
        <v>576</v>
      </c>
      <c r="BE137" s="45" t="s">
        <v>583</v>
      </c>
      <c r="BF137" s="156"/>
      <c r="BG137" s="45"/>
      <c r="BH137" s="91"/>
      <c r="BI137" s="45"/>
      <c r="BJ137" s="67"/>
      <c r="BK137" s="242" t="s">
        <v>1880</v>
      </c>
    </row>
    <row r="138" spans="1:63" s="6" customFormat="1" ht="23.25" customHeight="1" thickBot="1" x14ac:dyDescent="0.25">
      <c r="A138" s="62">
        <v>137</v>
      </c>
      <c r="B138" s="222"/>
      <c r="C138" s="222"/>
      <c r="D138" s="224"/>
      <c r="E138" s="13" t="s">
        <v>308</v>
      </c>
      <c r="F138" s="80">
        <v>77.739999999999995</v>
      </c>
      <c r="G138" s="81">
        <v>0</v>
      </c>
      <c r="H138" s="81">
        <v>8.3571430000000007</v>
      </c>
      <c r="I138" s="81">
        <v>0</v>
      </c>
      <c r="J138" s="81">
        <v>6.76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>
        <v>0</v>
      </c>
      <c r="T138" s="81">
        <v>7.1428570000000002</v>
      </c>
      <c r="U138" s="81">
        <v>0</v>
      </c>
      <c r="V138" s="81">
        <v>0</v>
      </c>
      <c r="W138" s="81">
        <v>0</v>
      </c>
      <c r="X138" s="81">
        <v>0</v>
      </c>
      <c r="Y138" s="81">
        <v>0</v>
      </c>
      <c r="Z138" s="81">
        <v>0</v>
      </c>
      <c r="AA138" s="81">
        <v>0</v>
      </c>
      <c r="AB138" s="81">
        <v>0</v>
      </c>
      <c r="AC138" s="81">
        <v>0</v>
      </c>
      <c r="AD138" s="83">
        <f t="shared" si="17"/>
        <v>100</v>
      </c>
      <c r="AE138" s="81">
        <v>0</v>
      </c>
      <c r="AF138" s="81">
        <v>0</v>
      </c>
      <c r="AG138" s="81">
        <v>0</v>
      </c>
      <c r="AH138" s="81">
        <v>0</v>
      </c>
      <c r="AI138" s="79" t="s">
        <v>1531</v>
      </c>
      <c r="AJ138" s="65">
        <v>1200</v>
      </c>
      <c r="AK138" s="78">
        <v>1273</v>
      </c>
      <c r="AL138" s="200">
        <v>100</v>
      </c>
      <c r="AM138" s="190"/>
      <c r="AN138" s="190"/>
      <c r="AO138" s="190"/>
      <c r="AP138" s="190"/>
      <c r="AQ138" s="190"/>
      <c r="AR138" s="190"/>
      <c r="AS138" s="190"/>
      <c r="AT138" s="201"/>
      <c r="AU138" s="190"/>
      <c r="AV138" s="202">
        <f>SUM(AL138:AT138)</f>
        <v>100</v>
      </c>
      <c r="AW138" s="190"/>
      <c r="AX138" s="190"/>
      <c r="AY138" s="79"/>
      <c r="AZ138" s="65">
        <v>303</v>
      </c>
      <c r="BA138" s="78"/>
      <c r="BB138" s="65" t="s">
        <v>523</v>
      </c>
      <c r="BC138" s="65" t="s">
        <v>572</v>
      </c>
      <c r="BD138" s="65" t="s">
        <v>577</v>
      </c>
      <c r="BE138" s="65" t="s">
        <v>584</v>
      </c>
      <c r="BF138" s="79"/>
      <c r="BG138" s="65"/>
      <c r="BH138" s="78"/>
      <c r="BI138" s="65"/>
      <c r="BJ138" s="68"/>
      <c r="BK138" s="258"/>
    </row>
    <row r="139" spans="1:63" ht="23.25" customHeight="1" x14ac:dyDescent="0.2">
      <c r="A139" s="7">
        <v>138</v>
      </c>
      <c r="B139" s="221">
        <v>25</v>
      </c>
      <c r="C139" s="221" t="s">
        <v>1577</v>
      </c>
      <c r="D139" s="225" t="s">
        <v>228</v>
      </c>
      <c r="E139" s="54" t="s">
        <v>285</v>
      </c>
      <c r="F139" s="16">
        <v>78</v>
      </c>
      <c r="G139" s="8">
        <v>14.857139999999999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17">
        <v>0</v>
      </c>
      <c r="T139" s="8">
        <v>7.1428570000000002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14">
        <f t="shared" si="17"/>
        <v>99.999997000000008</v>
      </c>
      <c r="AE139" s="8">
        <v>0</v>
      </c>
      <c r="AF139" s="8">
        <v>0</v>
      </c>
      <c r="AG139" s="8">
        <v>0</v>
      </c>
      <c r="AH139" s="8">
        <v>0</v>
      </c>
      <c r="AI139" s="39" t="s">
        <v>1531</v>
      </c>
      <c r="AJ139" s="7">
        <v>240</v>
      </c>
      <c r="AK139" s="62">
        <v>1323</v>
      </c>
      <c r="AL139" s="158"/>
      <c r="AM139" s="85"/>
      <c r="AN139" s="85"/>
      <c r="AO139" s="85"/>
      <c r="AP139" s="85"/>
      <c r="AQ139" s="85"/>
      <c r="AR139" s="85"/>
      <c r="AS139" s="85"/>
      <c r="AT139" s="205"/>
      <c r="AU139" s="85"/>
      <c r="AV139" s="196"/>
      <c r="AW139" s="85"/>
      <c r="AX139" s="85"/>
      <c r="AY139" s="39"/>
      <c r="AZ139" s="7"/>
      <c r="BA139" s="62"/>
      <c r="BB139" s="7" t="s">
        <v>523</v>
      </c>
      <c r="BC139" s="7" t="s">
        <v>573</v>
      </c>
      <c r="BD139" s="7" t="s">
        <v>578</v>
      </c>
      <c r="BE139" s="7" t="s">
        <v>585</v>
      </c>
      <c r="BF139" s="39" t="s">
        <v>523</v>
      </c>
      <c r="BG139" s="7" t="s">
        <v>1144</v>
      </c>
      <c r="BH139" s="62" t="s">
        <v>1140</v>
      </c>
      <c r="BI139" s="7"/>
      <c r="BJ139" s="32"/>
      <c r="BK139" s="223" t="s">
        <v>1744</v>
      </c>
    </row>
    <row r="140" spans="1:63" ht="23.25" customHeight="1" x14ac:dyDescent="0.2">
      <c r="A140" s="62">
        <v>139</v>
      </c>
      <c r="B140" s="221"/>
      <c r="C140" s="221"/>
      <c r="D140" s="223"/>
      <c r="E140" s="54" t="s">
        <v>286</v>
      </c>
      <c r="F140" s="16">
        <v>79.857140000000001</v>
      </c>
      <c r="G140" s="8">
        <v>13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17">
        <v>0</v>
      </c>
      <c r="T140" s="8">
        <v>7.1428570000000002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14">
        <f t="shared" si="17"/>
        <v>99.999997000000008</v>
      </c>
      <c r="AE140" s="8">
        <v>0</v>
      </c>
      <c r="AF140" s="8">
        <v>0</v>
      </c>
      <c r="AG140" s="8">
        <v>0</v>
      </c>
      <c r="AH140" s="8">
        <v>0</v>
      </c>
      <c r="AI140" s="39" t="s">
        <v>1531</v>
      </c>
      <c r="AJ140" s="7">
        <v>240</v>
      </c>
      <c r="AK140" s="62">
        <v>1323</v>
      </c>
      <c r="AL140" s="158"/>
      <c r="AM140" s="85"/>
      <c r="AN140" s="85"/>
      <c r="AO140" s="85"/>
      <c r="AP140" s="85"/>
      <c r="AQ140" s="85"/>
      <c r="AR140" s="85"/>
      <c r="AS140" s="85"/>
      <c r="AT140" s="205"/>
      <c r="AU140" s="85"/>
      <c r="AV140" s="196"/>
      <c r="AW140" s="85"/>
      <c r="AX140" s="85"/>
      <c r="AY140" s="39"/>
      <c r="AZ140" s="7"/>
      <c r="BA140" s="62"/>
      <c r="BB140" s="7" t="s">
        <v>523</v>
      </c>
      <c r="BC140" s="7" t="s">
        <v>574</v>
      </c>
      <c r="BD140" s="7" t="s">
        <v>579</v>
      </c>
      <c r="BE140" s="7" t="s">
        <v>586</v>
      </c>
      <c r="BF140" s="39" t="s">
        <v>523</v>
      </c>
      <c r="BG140" s="7" t="s">
        <v>1145</v>
      </c>
      <c r="BH140" s="62" t="s">
        <v>1141</v>
      </c>
      <c r="BI140" s="7"/>
      <c r="BJ140" s="32"/>
      <c r="BK140" s="223"/>
    </row>
    <row r="141" spans="1:63" ht="23.25" customHeight="1" x14ac:dyDescent="0.2">
      <c r="A141" s="7">
        <v>140</v>
      </c>
      <c r="B141" s="221"/>
      <c r="C141" s="221"/>
      <c r="D141" s="223"/>
      <c r="E141" s="54" t="s">
        <v>229</v>
      </c>
      <c r="F141" s="16">
        <v>81.714290000000005</v>
      </c>
      <c r="G141" s="8">
        <v>11.142860000000001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17">
        <v>0</v>
      </c>
      <c r="T141" s="8">
        <v>7.1428570000000002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14">
        <f t="shared" si="17"/>
        <v>100.00000700000001</v>
      </c>
      <c r="AE141" s="8">
        <v>0</v>
      </c>
      <c r="AF141" s="8">
        <v>0</v>
      </c>
      <c r="AG141" s="8">
        <v>0</v>
      </c>
      <c r="AH141" s="8">
        <v>0</v>
      </c>
      <c r="AI141" s="39" t="s">
        <v>1531</v>
      </c>
      <c r="AJ141" s="7">
        <v>240</v>
      </c>
      <c r="AK141" s="62">
        <v>1323</v>
      </c>
      <c r="AL141" s="158"/>
      <c r="AM141" s="85"/>
      <c r="AN141" s="85"/>
      <c r="AO141" s="85"/>
      <c r="AP141" s="85"/>
      <c r="AQ141" s="85"/>
      <c r="AR141" s="85"/>
      <c r="AS141" s="85"/>
      <c r="AT141" s="205"/>
      <c r="AU141" s="85"/>
      <c r="AV141" s="196"/>
      <c r="AW141" s="85"/>
      <c r="AX141" s="85"/>
      <c r="AY141" s="39"/>
      <c r="AZ141" s="7"/>
      <c r="BA141" s="62"/>
      <c r="BB141" s="7" t="s">
        <v>523</v>
      </c>
      <c r="BC141" s="7" t="s">
        <v>575</v>
      </c>
      <c r="BD141" s="7" t="s">
        <v>580</v>
      </c>
      <c r="BE141" s="7" t="s">
        <v>587</v>
      </c>
      <c r="BF141" s="39" t="s">
        <v>523</v>
      </c>
      <c r="BG141" s="7" t="s">
        <v>1146</v>
      </c>
      <c r="BH141" s="62" t="s">
        <v>1142</v>
      </c>
      <c r="BI141" s="7"/>
      <c r="BJ141" s="32"/>
      <c r="BK141" s="223"/>
    </row>
    <row r="142" spans="1:63" ht="23.25" customHeight="1" x14ac:dyDescent="0.2">
      <c r="A142" s="62">
        <v>141</v>
      </c>
      <c r="B142" s="221"/>
      <c r="C142" s="221"/>
      <c r="D142" s="223"/>
      <c r="E142" s="54" t="s">
        <v>240</v>
      </c>
      <c r="F142" s="16">
        <v>83.571430000000007</v>
      </c>
      <c r="G142" s="8">
        <v>9.2857140000000005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17">
        <v>0</v>
      </c>
      <c r="T142" s="8">
        <v>7.1428570000000002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14">
        <f t="shared" si="17"/>
        <v>100.00000100000001</v>
      </c>
      <c r="AE142" s="8">
        <v>0</v>
      </c>
      <c r="AF142" s="8">
        <v>0</v>
      </c>
      <c r="AG142" s="8">
        <v>0</v>
      </c>
      <c r="AH142" s="8">
        <v>0</v>
      </c>
      <c r="AI142" s="39" t="s">
        <v>1531</v>
      </c>
      <c r="AJ142" s="7">
        <v>240</v>
      </c>
      <c r="AK142" s="62">
        <v>1323</v>
      </c>
      <c r="AL142" s="158"/>
      <c r="AM142" s="85"/>
      <c r="AN142" s="85"/>
      <c r="AO142" s="85"/>
      <c r="AP142" s="85"/>
      <c r="AQ142" s="85"/>
      <c r="AR142" s="85"/>
      <c r="AS142" s="85"/>
      <c r="AT142" s="205"/>
      <c r="AU142" s="85"/>
      <c r="AV142" s="196"/>
      <c r="AW142" s="85"/>
      <c r="AX142" s="85"/>
      <c r="AY142" s="39"/>
      <c r="AZ142" s="7"/>
      <c r="BA142" s="62"/>
      <c r="BB142" s="7" t="s">
        <v>523</v>
      </c>
      <c r="BC142" s="7" t="s">
        <v>527</v>
      </c>
      <c r="BD142" s="7" t="s">
        <v>581</v>
      </c>
      <c r="BE142" s="7" t="s">
        <v>588</v>
      </c>
      <c r="BF142" s="39" t="s">
        <v>523</v>
      </c>
      <c r="BG142" s="7" t="s">
        <v>1147</v>
      </c>
      <c r="BH142" s="62" t="s">
        <v>1143</v>
      </c>
      <c r="BI142" s="7"/>
      <c r="BJ142" s="32"/>
      <c r="BK142" s="223"/>
    </row>
    <row r="143" spans="1:63" ht="23.25" customHeight="1" thickBot="1" x14ac:dyDescent="0.25">
      <c r="A143" s="7">
        <v>142</v>
      </c>
      <c r="B143" s="221"/>
      <c r="C143" s="221"/>
      <c r="D143" s="54" t="s">
        <v>4</v>
      </c>
      <c r="E143" s="54"/>
      <c r="F143" s="16">
        <v>83.571430000000007</v>
      </c>
      <c r="G143" s="8">
        <v>9.2857140000000005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17">
        <v>0</v>
      </c>
      <c r="T143" s="8">
        <v>7.1428570000000002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14">
        <f t="shared" si="17"/>
        <v>100.00000100000001</v>
      </c>
      <c r="AE143" s="8">
        <f>1.1/14*100</f>
        <v>7.8571428571428585</v>
      </c>
      <c r="AF143" s="8">
        <v>0</v>
      </c>
      <c r="AG143" s="8">
        <v>0</v>
      </c>
      <c r="AH143" s="8">
        <v>0</v>
      </c>
      <c r="AI143" s="39" t="s">
        <v>1531</v>
      </c>
      <c r="AJ143" s="7">
        <v>240</v>
      </c>
      <c r="AK143" s="62">
        <v>1323</v>
      </c>
      <c r="AL143" s="158"/>
      <c r="AM143" s="85"/>
      <c r="AN143" s="85"/>
      <c r="AO143" s="85"/>
      <c r="AP143" s="85"/>
      <c r="AQ143" s="85"/>
      <c r="AR143" s="85"/>
      <c r="AS143" s="85"/>
      <c r="AT143" s="205"/>
      <c r="AU143" s="85"/>
      <c r="AV143" s="196"/>
      <c r="AW143" s="85"/>
      <c r="AX143" s="85"/>
      <c r="AY143" s="39"/>
      <c r="AZ143" s="7"/>
      <c r="BA143" s="62"/>
      <c r="BB143" s="7" t="s">
        <v>523</v>
      </c>
      <c r="BC143" s="7" t="s">
        <v>530</v>
      </c>
      <c r="BD143" s="7" t="s">
        <v>582</v>
      </c>
      <c r="BE143" s="7" t="s">
        <v>589</v>
      </c>
      <c r="BF143" s="39" t="s">
        <v>523</v>
      </c>
      <c r="BG143" s="7" t="s">
        <v>1148</v>
      </c>
      <c r="BH143" s="62" t="s">
        <v>582</v>
      </c>
      <c r="BI143" s="7"/>
      <c r="BJ143" s="32"/>
      <c r="BK143" s="223"/>
    </row>
    <row r="144" spans="1:63" s="4" customFormat="1" ht="23.25" customHeight="1" x14ac:dyDescent="0.2">
      <c r="A144" s="62">
        <v>143</v>
      </c>
      <c r="B144" s="238">
        <v>26</v>
      </c>
      <c r="C144" s="238" t="s">
        <v>1576</v>
      </c>
      <c r="D144" s="12" t="s">
        <v>28</v>
      </c>
      <c r="E144" s="12"/>
      <c r="F144" s="87">
        <v>81.714290000000005</v>
      </c>
      <c r="G144" s="88">
        <v>11.142860000000001</v>
      </c>
      <c r="H144" s="88">
        <v>0</v>
      </c>
      <c r="I144" s="88">
        <v>0</v>
      </c>
      <c r="J144" s="88">
        <v>0</v>
      </c>
      <c r="K144" s="88">
        <v>0</v>
      </c>
      <c r="L144" s="88">
        <v>0</v>
      </c>
      <c r="M144" s="88">
        <v>0</v>
      </c>
      <c r="N144" s="88">
        <v>0</v>
      </c>
      <c r="O144" s="88">
        <v>0</v>
      </c>
      <c r="P144" s="88">
        <v>0</v>
      </c>
      <c r="Q144" s="88">
        <v>0</v>
      </c>
      <c r="R144" s="88">
        <v>0</v>
      </c>
      <c r="S144" s="89">
        <v>0</v>
      </c>
      <c r="T144" s="88">
        <v>7.1428570000000002</v>
      </c>
      <c r="U144" s="88">
        <v>0</v>
      </c>
      <c r="V144" s="88">
        <v>0</v>
      </c>
      <c r="W144" s="88">
        <v>0</v>
      </c>
      <c r="X144" s="88">
        <v>0</v>
      </c>
      <c r="Y144" s="88">
        <v>0</v>
      </c>
      <c r="Z144" s="88">
        <v>0</v>
      </c>
      <c r="AA144" s="88">
        <v>0</v>
      </c>
      <c r="AB144" s="88">
        <v>0</v>
      </c>
      <c r="AC144" s="88">
        <v>0</v>
      </c>
      <c r="AD144" s="90">
        <f t="shared" si="17"/>
        <v>100.00000700000001</v>
      </c>
      <c r="AE144" s="88">
        <v>0</v>
      </c>
      <c r="AF144" s="88">
        <v>0</v>
      </c>
      <c r="AG144" s="88">
        <v>0</v>
      </c>
      <c r="AH144" s="88">
        <v>0</v>
      </c>
      <c r="AI144" s="156" t="s">
        <v>1531</v>
      </c>
      <c r="AJ144" s="45">
        <v>240</v>
      </c>
      <c r="AK144" s="91">
        <v>1323</v>
      </c>
      <c r="AL144" s="197"/>
      <c r="AM144" s="189"/>
      <c r="AN144" s="189"/>
      <c r="AO144" s="189"/>
      <c r="AP144" s="189"/>
      <c r="AQ144" s="189"/>
      <c r="AR144" s="189"/>
      <c r="AS144" s="189"/>
      <c r="AT144" s="198"/>
      <c r="AU144" s="189"/>
      <c r="AV144" s="199"/>
      <c r="AW144" s="189"/>
      <c r="AX144" s="189"/>
      <c r="AY144" s="156">
        <v>0.3</v>
      </c>
      <c r="AZ144" s="45">
        <v>195.5</v>
      </c>
      <c r="BA144" s="91">
        <v>1</v>
      </c>
      <c r="BB144" s="45">
        <v>2</v>
      </c>
      <c r="BC144" s="45">
        <v>20</v>
      </c>
      <c r="BD144" s="45">
        <v>194.2</v>
      </c>
      <c r="BE144" s="45">
        <v>9.6</v>
      </c>
      <c r="BF144" s="156"/>
      <c r="BG144" s="45"/>
      <c r="BH144" s="91"/>
      <c r="BI144" s="45"/>
      <c r="BJ144" s="67"/>
      <c r="BK144" s="225" t="s">
        <v>8</v>
      </c>
    </row>
    <row r="145" spans="1:63" ht="23.25" customHeight="1" x14ac:dyDescent="0.2">
      <c r="A145" s="7">
        <v>144</v>
      </c>
      <c r="B145" s="221"/>
      <c r="C145" s="221"/>
      <c r="D145" s="54" t="s">
        <v>30</v>
      </c>
      <c r="E145" s="54"/>
      <c r="F145" s="16">
        <v>83.571430000000007</v>
      </c>
      <c r="G145" s="8">
        <v>9.2857140000000005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17">
        <v>0</v>
      </c>
      <c r="T145" s="8">
        <v>7.1428570000000002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14">
        <f t="shared" si="17"/>
        <v>100.00000100000001</v>
      </c>
      <c r="AE145" s="8">
        <v>0</v>
      </c>
      <c r="AF145" s="8">
        <v>0</v>
      </c>
      <c r="AG145" s="8">
        <v>0</v>
      </c>
      <c r="AH145" s="8">
        <v>0</v>
      </c>
      <c r="AI145" s="39" t="s">
        <v>1531</v>
      </c>
      <c r="AJ145" s="7">
        <v>240</v>
      </c>
      <c r="AK145" s="62">
        <v>1323</v>
      </c>
      <c r="AL145" s="158"/>
      <c r="AM145" s="85"/>
      <c r="AN145" s="85"/>
      <c r="AO145" s="85"/>
      <c r="AP145" s="85"/>
      <c r="AQ145" s="85"/>
      <c r="AR145" s="85"/>
      <c r="AS145" s="85"/>
      <c r="AT145" s="205"/>
      <c r="AU145" s="85"/>
      <c r="AV145" s="196"/>
      <c r="AW145" s="85"/>
      <c r="AX145" s="85"/>
      <c r="AY145" s="39"/>
      <c r="AZ145" s="7">
        <v>183</v>
      </c>
      <c r="BA145" s="62"/>
      <c r="BB145" s="7">
        <v>2</v>
      </c>
      <c r="BC145" s="7">
        <v>28</v>
      </c>
      <c r="BD145" s="7">
        <v>183.3</v>
      </c>
      <c r="BE145" s="7">
        <v>8.5</v>
      </c>
      <c r="BF145" s="39"/>
      <c r="BG145" s="7"/>
      <c r="BH145" s="62"/>
      <c r="BI145" s="7"/>
      <c r="BJ145" s="32"/>
      <c r="BK145" s="223"/>
    </row>
    <row r="146" spans="1:63" ht="23.25" customHeight="1" x14ac:dyDescent="0.2">
      <c r="A146" s="62">
        <v>145</v>
      </c>
      <c r="B146" s="221"/>
      <c r="C146" s="221"/>
      <c r="D146" s="223" t="s">
        <v>2</v>
      </c>
      <c r="E146" s="54" t="s">
        <v>232</v>
      </c>
      <c r="F146" s="16">
        <v>81.714290000000005</v>
      </c>
      <c r="G146" s="8">
        <v>11.142860000000001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17">
        <v>0</v>
      </c>
      <c r="T146" s="8">
        <v>7.1428570000000002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14">
        <f t="shared" si="17"/>
        <v>100.00000700000001</v>
      </c>
      <c r="AE146" s="8">
        <f>0.5/14*100</f>
        <v>3.5714285714285712</v>
      </c>
      <c r="AF146" s="8">
        <v>0</v>
      </c>
      <c r="AG146" s="8">
        <v>0</v>
      </c>
      <c r="AH146" s="8">
        <v>0</v>
      </c>
      <c r="AI146" s="39" t="s">
        <v>1531</v>
      </c>
      <c r="AJ146" s="7">
        <v>240</v>
      </c>
      <c r="AK146" s="62">
        <v>1323</v>
      </c>
      <c r="AL146" s="158"/>
      <c r="AM146" s="85"/>
      <c r="AN146" s="85"/>
      <c r="AO146" s="85"/>
      <c r="AP146" s="85"/>
      <c r="AQ146" s="85"/>
      <c r="AR146" s="85"/>
      <c r="AS146" s="85"/>
      <c r="AT146" s="205"/>
      <c r="AU146" s="85"/>
      <c r="AV146" s="196"/>
      <c r="AW146" s="85"/>
      <c r="AX146" s="85"/>
      <c r="AY146" s="39"/>
      <c r="AZ146" s="7"/>
      <c r="BA146" s="62"/>
      <c r="BB146" s="7">
        <v>2</v>
      </c>
      <c r="BC146" s="7">
        <v>19.600000000000001</v>
      </c>
      <c r="BD146" s="7">
        <v>233</v>
      </c>
      <c r="BE146" s="7"/>
      <c r="BF146" s="39">
        <v>2</v>
      </c>
      <c r="BG146" s="7">
        <v>6.1</v>
      </c>
      <c r="BH146" s="62">
        <v>233</v>
      </c>
      <c r="BI146" s="7"/>
      <c r="BJ146" s="32"/>
      <c r="BK146" s="223"/>
    </row>
    <row r="147" spans="1:63" ht="23.25" customHeight="1" x14ac:dyDescent="0.2">
      <c r="A147" s="7">
        <v>146</v>
      </c>
      <c r="B147" s="221"/>
      <c r="C147" s="221"/>
      <c r="D147" s="223"/>
      <c r="E147" s="54" t="s">
        <v>239</v>
      </c>
      <c r="F147" s="16">
        <v>81.714290000000005</v>
      </c>
      <c r="G147" s="8">
        <v>11.142860000000001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17">
        <v>0</v>
      </c>
      <c r="T147" s="8">
        <v>7.1428570000000002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14">
        <f t="shared" si="17"/>
        <v>100.00000700000001</v>
      </c>
      <c r="AE147" s="8">
        <f>1/14*100</f>
        <v>7.1428571428571423</v>
      </c>
      <c r="AF147" s="8">
        <v>0</v>
      </c>
      <c r="AG147" s="8">
        <v>0</v>
      </c>
      <c r="AH147" s="8">
        <v>0</v>
      </c>
      <c r="AI147" s="39" t="s">
        <v>1531</v>
      </c>
      <c r="AJ147" s="7">
        <v>240</v>
      </c>
      <c r="AK147" s="62">
        <v>1323</v>
      </c>
      <c r="AL147" s="158"/>
      <c r="AM147" s="85"/>
      <c r="AN147" s="85"/>
      <c r="AO147" s="85"/>
      <c r="AP147" s="85"/>
      <c r="AQ147" s="85"/>
      <c r="AR147" s="85"/>
      <c r="AS147" s="85"/>
      <c r="AT147" s="205"/>
      <c r="AU147" s="85"/>
      <c r="AV147" s="196"/>
      <c r="AW147" s="85"/>
      <c r="AX147" s="85"/>
      <c r="AY147" s="39"/>
      <c r="AZ147" s="7"/>
      <c r="BA147" s="62"/>
      <c r="BB147" s="7">
        <v>2</v>
      </c>
      <c r="BC147" s="7">
        <v>18.899999999999999</v>
      </c>
      <c r="BD147" s="7">
        <v>275</v>
      </c>
      <c r="BE147" s="7"/>
      <c r="BF147" s="39">
        <v>2</v>
      </c>
      <c r="BG147" s="7">
        <v>6.2</v>
      </c>
      <c r="BH147" s="62">
        <v>277</v>
      </c>
      <c r="BI147" s="7"/>
      <c r="BJ147" s="32"/>
      <c r="BK147" s="223"/>
    </row>
    <row r="148" spans="1:63" ht="23.25" customHeight="1" x14ac:dyDescent="0.2">
      <c r="A148" s="62">
        <v>147</v>
      </c>
      <c r="B148" s="221"/>
      <c r="C148" s="221"/>
      <c r="D148" s="223"/>
      <c r="E148" s="54" t="s">
        <v>233</v>
      </c>
      <c r="F148" s="16">
        <v>81.714290000000005</v>
      </c>
      <c r="G148" s="8">
        <v>11.142860000000001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17">
        <v>0</v>
      </c>
      <c r="T148" s="8">
        <v>7.1428570000000002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14">
        <f t="shared" si="17"/>
        <v>100.00000700000001</v>
      </c>
      <c r="AE148" s="8">
        <f>1.5/14*100</f>
        <v>10.714285714285714</v>
      </c>
      <c r="AF148" s="8">
        <v>0</v>
      </c>
      <c r="AG148" s="8">
        <v>0</v>
      </c>
      <c r="AH148" s="8">
        <v>0</v>
      </c>
      <c r="AI148" s="39" t="s">
        <v>1531</v>
      </c>
      <c r="AJ148" s="7">
        <v>240</v>
      </c>
      <c r="AK148" s="62">
        <v>1323</v>
      </c>
      <c r="AL148" s="158"/>
      <c r="AM148" s="85"/>
      <c r="AN148" s="85"/>
      <c r="AO148" s="85"/>
      <c r="AP148" s="85"/>
      <c r="AQ148" s="85"/>
      <c r="AR148" s="85"/>
      <c r="AS148" s="85"/>
      <c r="AT148" s="205"/>
      <c r="AU148" s="85"/>
      <c r="AV148" s="196"/>
      <c r="AW148" s="85"/>
      <c r="AX148" s="85"/>
      <c r="AY148" s="39"/>
      <c r="AZ148" s="7"/>
      <c r="BA148" s="62"/>
      <c r="BB148" s="7">
        <v>2</v>
      </c>
      <c r="BC148" s="7">
        <v>19.100000000000001</v>
      </c>
      <c r="BD148" s="7">
        <v>322</v>
      </c>
      <c r="BE148" s="7"/>
      <c r="BF148" s="39">
        <v>2</v>
      </c>
      <c r="BG148" s="7">
        <v>6.6</v>
      </c>
      <c r="BH148" s="62">
        <v>325</v>
      </c>
      <c r="BI148" s="7"/>
      <c r="BJ148" s="32"/>
      <c r="BK148" s="223"/>
    </row>
    <row r="149" spans="1:63" s="6" customFormat="1" ht="23.25" customHeight="1" thickBot="1" x14ac:dyDescent="0.25">
      <c r="A149" s="7">
        <v>148</v>
      </c>
      <c r="B149" s="222"/>
      <c r="C149" s="222"/>
      <c r="D149" s="13" t="s">
        <v>31</v>
      </c>
      <c r="E149" s="13" t="s">
        <v>304</v>
      </c>
      <c r="F149" s="80">
        <v>83.571430000000007</v>
      </c>
      <c r="G149" s="81">
        <v>9.2857140000000005</v>
      </c>
      <c r="H149" s="81">
        <v>0</v>
      </c>
      <c r="I149" s="81">
        <v>0</v>
      </c>
      <c r="J149" s="81">
        <v>0</v>
      </c>
      <c r="K149" s="81">
        <v>0</v>
      </c>
      <c r="L149" s="81">
        <v>0</v>
      </c>
      <c r="M149" s="81">
        <v>0</v>
      </c>
      <c r="N149" s="81">
        <v>0</v>
      </c>
      <c r="O149" s="81">
        <v>0</v>
      </c>
      <c r="P149" s="81">
        <v>0</v>
      </c>
      <c r="Q149" s="81">
        <v>0</v>
      </c>
      <c r="R149" s="81">
        <v>0</v>
      </c>
      <c r="S149" s="82">
        <v>0</v>
      </c>
      <c r="T149" s="81">
        <v>7.1428570000000002</v>
      </c>
      <c r="U149" s="81">
        <v>0</v>
      </c>
      <c r="V149" s="81">
        <v>0</v>
      </c>
      <c r="W149" s="81">
        <v>0</v>
      </c>
      <c r="X149" s="81">
        <v>0</v>
      </c>
      <c r="Y149" s="81">
        <v>0</v>
      </c>
      <c r="Z149" s="81">
        <v>0</v>
      </c>
      <c r="AA149" s="81">
        <v>0</v>
      </c>
      <c r="AB149" s="81">
        <v>0</v>
      </c>
      <c r="AC149" s="81">
        <v>0</v>
      </c>
      <c r="AD149" s="83">
        <f t="shared" si="17"/>
        <v>100.00000100000001</v>
      </c>
      <c r="AE149" s="81">
        <f>1.1/14*100</f>
        <v>7.8571428571428585</v>
      </c>
      <c r="AF149" s="81">
        <v>0</v>
      </c>
      <c r="AG149" s="81">
        <v>0</v>
      </c>
      <c r="AH149" s="81">
        <v>0</v>
      </c>
      <c r="AI149" s="79" t="s">
        <v>1531</v>
      </c>
      <c r="AJ149" s="65">
        <v>240</v>
      </c>
      <c r="AK149" s="78">
        <v>1323</v>
      </c>
      <c r="AL149" s="200"/>
      <c r="AM149" s="190"/>
      <c r="AN149" s="190"/>
      <c r="AO149" s="190"/>
      <c r="AP149" s="190"/>
      <c r="AQ149" s="190"/>
      <c r="AR149" s="190"/>
      <c r="AS149" s="190"/>
      <c r="AT149" s="201"/>
      <c r="AU149" s="190"/>
      <c r="AV149" s="202"/>
      <c r="AW149" s="190"/>
      <c r="AX149" s="190"/>
      <c r="AY149" s="79"/>
      <c r="AZ149" s="65"/>
      <c r="BA149" s="78"/>
      <c r="BB149" s="65">
        <v>2</v>
      </c>
      <c r="BC149" s="65">
        <v>27.8</v>
      </c>
      <c r="BD149" s="65">
        <v>286</v>
      </c>
      <c r="BE149" s="65"/>
      <c r="BF149" s="79">
        <v>2</v>
      </c>
      <c r="BG149" s="65">
        <v>7.2</v>
      </c>
      <c r="BH149" s="78">
        <v>287</v>
      </c>
      <c r="BI149" s="65"/>
      <c r="BJ149" s="68"/>
      <c r="BK149" s="224"/>
    </row>
    <row r="150" spans="1:63" ht="23.25" customHeight="1" x14ac:dyDescent="0.2">
      <c r="A150" s="62">
        <v>149</v>
      </c>
      <c r="B150" s="221">
        <v>27</v>
      </c>
      <c r="C150" s="221" t="s">
        <v>1575</v>
      </c>
      <c r="D150" s="54" t="s">
        <v>33</v>
      </c>
      <c r="E150" s="54"/>
      <c r="F150" s="16">
        <v>83.565259999999995</v>
      </c>
      <c r="G150" s="8">
        <v>7.9212160000000003</v>
      </c>
      <c r="H150" s="8">
        <v>0</v>
      </c>
      <c r="I150" s="8">
        <v>0</v>
      </c>
      <c r="J150" s="8">
        <v>1.3772930000000001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17">
        <v>0</v>
      </c>
      <c r="T150" s="8">
        <v>7.1362310000000004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14">
        <f t="shared" si="17"/>
        <v>99.999999999999986</v>
      </c>
      <c r="AE150" s="8">
        <v>0</v>
      </c>
      <c r="AF150" s="8">
        <v>0</v>
      </c>
      <c r="AG150" s="8">
        <v>0</v>
      </c>
      <c r="AH150" s="8">
        <v>0</v>
      </c>
      <c r="AJ150" s="7"/>
      <c r="AK150" s="62"/>
      <c r="AL150" s="158"/>
      <c r="AM150" s="85"/>
      <c r="AN150" s="85"/>
      <c r="AO150" s="85"/>
      <c r="AP150" s="85"/>
      <c r="AQ150" s="85"/>
      <c r="AR150" s="85"/>
      <c r="AS150" s="85"/>
      <c r="AT150" s="205"/>
      <c r="AU150" s="85"/>
      <c r="AV150" s="196"/>
      <c r="AW150" s="85"/>
      <c r="AX150" s="85"/>
      <c r="AY150" s="39"/>
      <c r="AZ150" s="7">
        <v>202</v>
      </c>
      <c r="BA150" s="62"/>
      <c r="BB150" s="7">
        <v>2</v>
      </c>
      <c r="BC150" s="7">
        <v>26.8</v>
      </c>
      <c r="BD150" s="7">
        <v>203</v>
      </c>
      <c r="BE150" s="7">
        <v>8.1999999999999993</v>
      </c>
      <c r="BF150" s="39"/>
      <c r="BG150" s="7"/>
      <c r="BH150" s="62"/>
      <c r="BI150" s="7"/>
      <c r="BJ150" s="32"/>
      <c r="BK150" s="223" t="s">
        <v>1744</v>
      </c>
    </row>
    <row r="151" spans="1:63" ht="23.25" customHeight="1" thickBot="1" x14ac:dyDescent="0.25">
      <c r="A151" s="7">
        <v>150</v>
      </c>
      <c r="B151" s="221"/>
      <c r="C151" s="221"/>
      <c r="D151" s="54" t="s">
        <v>32</v>
      </c>
      <c r="E151" s="54"/>
      <c r="F151" s="16">
        <f>10.97/14*100</f>
        <v>78.357142857142861</v>
      </c>
      <c r="G151" s="8">
        <f>1/14*100</f>
        <v>7.1428571428571423</v>
      </c>
      <c r="H151" s="8">
        <v>0</v>
      </c>
      <c r="I151" s="8">
        <v>0</v>
      </c>
      <c r="J151" s="8">
        <f>1.03/14*100</f>
        <v>7.3571428571428577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17">
        <v>0</v>
      </c>
      <c r="T151" s="8">
        <f>1/14*100</f>
        <v>7.1428571428571423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14">
        <f t="shared" si="17"/>
        <v>100</v>
      </c>
      <c r="AE151" s="8">
        <v>0</v>
      </c>
      <c r="AF151" s="8">
        <v>0</v>
      </c>
      <c r="AG151" s="8">
        <v>0</v>
      </c>
      <c r="AH151" s="8">
        <v>0</v>
      </c>
      <c r="AJ151" s="7"/>
      <c r="AK151" s="62"/>
      <c r="AL151" s="158"/>
      <c r="AM151" s="85"/>
      <c r="AN151" s="85"/>
      <c r="AO151" s="85"/>
      <c r="AP151" s="85"/>
      <c r="AQ151" s="85"/>
      <c r="AR151" s="85"/>
      <c r="AS151" s="85"/>
      <c r="AT151" s="205"/>
      <c r="AU151" s="85"/>
      <c r="AV151" s="196"/>
      <c r="AW151" s="85"/>
      <c r="AX151" s="85"/>
      <c r="AY151" s="39"/>
      <c r="AZ151" s="7">
        <v>293</v>
      </c>
      <c r="BA151" s="62"/>
      <c r="BB151" s="7"/>
      <c r="BC151" s="7"/>
      <c r="BD151" s="7"/>
      <c r="BE151" s="7"/>
      <c r="BF151" s="39"/>
      <c r="BG151" s="7"/>
      <c r="BH151" s="62"/>
      <c r="BI151" s="7"/>
      <c r="BJ151" s="32"/>
      <c r="BK151" s="223"/>
    </row>
    <row r="152" spans="1:63" s="4" customFormat="1" ht="23.25" customHeight="1" x14ac:dyDescent="0.2">
      <c r="A152" s="62">
        <v>151</v>
      </c>
      <c r="B152" s="238">
        <v>30</v>
      </c>
      <c r="C152" s="238" t="s">
        <v>1574</v>
      </c>
      <c r="D152" s="225" t="s">
        <v>34</v>
      </c>
      <c r="E152" s="12" t="s">
        <v>305</v>
      </c>
      <c r="F152" s="87">
        <v>81.599999999999994</v>
      </c>
      <c r="G152" s="88">
        <v>7.8571429999999998</v>
      </c>
      <c r="H152" s="88">
        <v>0</v>
      </c>
      <c r="I152" s="88">
        <v>0</v>
      </c>
      <c r="J152" s="88">
        <v>3.4</v>
      </c>
      <c r="K152" s="88">
        <v>0</v>
      </c>
      <c r="L152" s="88">
        <v>0</v>
      </c>
      <c r="M152" s="88">
        <v>0</v>
      </c>
      <c r="N152" s="88">
        <v>0</v>
      </c>
      <c r="O152" s="88">
        <v>0</v>
      </c>
      <c r="P152" s="88">
        <v>0</v>
      </c>
      <c r="Q152" s="88">
        <v>0</v>
      </c>
      <c r="R152" s="88">
        <v>0</v>
      </c>
      <c r="S152" s="89">
        <v>0</v>
      </c>
      <c r="T152" s="88">
        <v>7.1428570000000002</v>
      </c>
      <c r="U152" s="88">
        <v>0</v>
      </c>
      <c r="V152" s="88">
        <v>0</v>
      </c>
      <c r="W152" s="88">
        <v>0</v>
      </c>
      <c r="X152" s="88">
        <v>0</v>
      </c>
      <c r="Y152" s="88">
        <v>0</v>
      </c>
      <c r="Z152" s="88">
        <v>0</v>
      </c>
      <c r="AA152" s="88">
        <v>0</v>
      </c>
      <c r="AB152" s="88">
        <v>0</v>
      </c>
      <c r="AC152" s="88">
        <v>0</v>
      </c>
      <c r="AD152" s="90">
        <f t="shared" si="17"/>
        <v>100</v>
      </c>
      <c r="AE152" s="88">
        <v>0</v>
      </c>
      <c r="AF152" s="88">
        <v>0</v>
      </c>
      <c r="AG152" s="88">
        <v>0</v>
      </c>
      <c r="AH152" s="88">
        <v>0</v>
      </c>
      <c r="AI152" s="156" t="s">
        <v>1531</v>
      </c>
      <c r="AJ152" s="45">
        <v>720</v>
      </c>
      <c r="AK152" s="91">
        <v>1323</v>
      </c>
      <c r="AL152" s="197"/>
      <c r="AM152" s="189">
        <v>5</v>
      </c>
      <c r="AN152" s="189"/>
      <c r="AO152" s="189"/>
      <c r="AP152" s="189"/>
      <c r="AQ152" s="189"/>
      <c r="AR152" s="189"/>
      <c r="AS152" s="189"/>
      <c r="AT152" s="198"/>
      <c r="AU152" s="189">
        <v>0</v>
      </c>
      <c r="AV152" s="199">
        <f>SUM(AL152:AT152)</f>
        <v>5</v>
      </c>
      <c r="AW152" s="189">
        <v>11.477</v>
      </c>
      <c r="AX152" s="189">
        <v>11.551</v>
      </c>
      <c r="AY152" s="156">
        <v>0.01</v>
      </c>
      <c r="AZ152" s="45">
        <v>243</v>
      </c>
      <c r="BA152" s="91"/>
      <c r="BB152" s="45" t="s">
        <v>523</v>
      </c>
      <c r="BC152" s="45" t="s">
        <v>591</v>
      </c>
      <c r="BD152" s="45" t="s">
        <v>594</v>
      </c>
      <c r="BE152" s="45" t="s">
        <v>597</v>
      </c>
      <c r="BF152" s="156"/>
      <c r="BG152" s="45"/>
      <c r="BH152" s="91"/>
      <c r="BI152" s="45"/>
      <c r="BJ152" s="67"/>
      <c r="BK152" s="242" t="s">
        <v>1881</v>
      </c>
    </row>
    <row r="153" spans="1:63" ht="23.25" customHeight="1" x14ac:dyDescent="0.2">
      <c r="A153" s="7">
        <v>152</v>
      </c>
      <c r="B153" s="221"/>
      <c r="C153" s="221"/>
      <c r="D153" s="223"/>
      <c r="E153" s="54" t="s">
        <v>307</v>
      </c>
      <c r="F153" s="16">
        <v>79.900000000000006</v>
      </c>
      <c r="G153" s="8">
        <v>7.8571429999999998</v>
      </c>
      <c r="H153" s="8">
        <v>0</v>
      </c>
      <c r="I153" s="8">
        <v>0</v>
      </c>
      <c r="J153" s="8">
        <v>5.0999999999999996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17">
        <v>0</v>
      </c>
      <c r="T153" s="8">
        <v>7.1428570000000002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14">
        <f t="shared" si="17"/>
        <v>100</v>
      </c>
      <c r="AE153" s="8">
        <v>0</v>
      </c>
      <c r="AF153" s="8">
        <v>0</v>
      </c>
      <c r="AG153" s="8">
        <v>0</v>
      </c>
      <c r="AH153" s="8">
        <v>0</v>
      </c>
      <c r="AI153" s="39" t="s">
        <v>1531</v>
      </c>
      <c r="AJ153" s="7">
        <v>720</v>
      </c>
      <c r="AK153" s="62">
        <v>1323</v>
      </c>
      <c r="AL153" s="158"/>
      <c r="AM153" s="85">
        <v>5</v>
      </c>
      <c r="AN153" s="85"/>
      <c r="AO153" s="85"/>
      <c r="AP153" s="85"/>
      <c r="AQ153" s="85"/>
      <c r="AR153" s="85"/>
      <c r="AS153" s="85"/>
      <c r="AT153" s="205"/>
      <c r="AU153" s="85">
        <v>0</v>
      </c>
      <c r="AV153" s="196">
        <f>SUM(AL153:AT153)</f>
        <v>5</v>
      </c>
      <c r="AW153" s="85">
        <v>11.481</v>
      </c>
      <c r="AX153" s="85">
        <v>11.534000000000001</v>
      </c>
      <c r="AY153" s="39">
        <v>0.01</v>
      </c>
      <c r="AZ153" s="7">
        <v>274</v>
      </c>
      <c r="BA153" s="62"/>
      <c r="BB153" s="7" t="s">
        <v>523</v>
      </c>
      <c r="BC153" s="7" t="s">
        <v>592</v>
      </c>
      <c r="BD153" s="7" t="s">
        <v>595</v>
      </c>
      <c r="BE153" s="7" t="s">
        <v>598</v>
      </c>
      <c r="BF153" s="39">
        <v>1.1000000000000001</v>
      </c>
      <c r="BG153" s="7">
        <v>2.4</v>
      </c>
      <c r="BH153" s="62">
        <v>271</v>
      </c>
      <c r="BI153" s="7"/>
      <c r="BJ153" s="32"/>
      <c r="BK153" s="241"/>
    </row>
    <row r="154" spans="1:63" s="6" customFormat="1" ht="23.25" customHeight="1" thickBot="1" x14ac:dyDescent="0.25">
      <c r="A154" s="62">
        <v>153</v>
      </c>
      <c r="B154" s="222"/>
      <c r="C154" s="222"/>
      <c r="D154" s="224"/>
      <c r="E154" s="13" t="s">
        <v>308</v>
      </c>
      <c r="F154" s="80">
        <v>78.2</v>
      </c>
      <c r="G154" s="81">
        <v>7.8571429999999998</v>
      </c>
      <c r="H154" s="81">
        <v>0</v>
      </c>
      <c r="I154" s="81">
        <v>0</v>
      </c>
      <c r="J154" s="81">
        <v>6.8</v>
      </c>
      <c r="K154" s="81">
        <v>0</v>
      </c>
      <c r="L154" s="81">
        <v>0</v>
      </c>
      <c r="M154" s="81">
        <v>0</v>
      </c>
      <c r="N154" s="81">
        <v>0</v>
      </c>
      <c r="O154" s="81">
        <v>0</v>
      </c>
      <c r="P154" s="81">
        <v>0</v>
      </c>
      <c r="Q154" s="81">
        <v>0</v>
      </c>
      <c r="R154" s="81">
        <v>0</v>
      </c>
      <c r="S154" s="82">
        <v>0</v>
      </c>
      <c r="T154" s="81">
        <v>7.1428570000000002</v>
      </c>
      <c r="U154" s="81">
        <v>0</v>
      </c>
      <c r="V154" s="81">
        <v>0</v>
      </c>
      <c r="W154" s="81">
        <v>0</v>
      </c>
      <c r="X154" s="81">
        <v>0</v>
      </c>
      <c r="Y154" s="81">
        <v>0</v>
      </c>
      <c r="Z154" s="81">
        <v>0</v>
      </c>
      <c r="AA154" s="81">
        <v>0</v>
      </c>
      <c r="AB154" s="81">
        <v>0</v>
      </c>
      <c r="AC154" s="81">
        <v>0</v>
      </c>
      <c r="AD154" s="83">
        <f t="shared" si="17"/>
        <v>100</v>
      </c>
      <c r="AE154" s="81">
        <v>0</v>
      </c>
      <c r="AF154" s="81">
        <v>0</v>
      </c>
      <c r="AG154" s="81">
        <v>0</v>
      </c>
      <c r="AH154" s="81">
        <v>0</v>
      </c>
      <c r="AI154" s="79" t="s">
        <v>1531</v>
      </c>
      <c r="AJ154" s="65">
        <v>720</v>
      </c>
      <c r="AK154" s="78">
        <v>1323</v>
      </c>
      <c r="AL154" s="200"/>
      <c r="AM154" s="190">
        <v>5</v>
      </c>
      <c r="AN154" s="190"/>
      <c r="AO154" s="190"/>
      <c r="AP154" s="190"/>
      <c r="AQ154" s="190"/>
      <c r="AR154" s="190"/>
      <c r="AS154" s="190"/>
      <c r="AT154" s="201"/>
      <c r="AU154" s="190">
        <v>0</v>
      </c>
      <c r="AV154" s="202">
        <f>SUM(AL154:AT154)</f>
        <v>5</v>
      </c>
      <c r="AW154" s="190">
        <v>11.48</v>
      </c>
      <c r="AX154" s="190">
        <v>11.528</v>
      </c>
      <c r="AY154" s="79">
        <v>0.01</v>
      </c>
      <c r="AZ154" s="65">
        <v>301</v>
      </c>
      <c r="BA154" s="78"/>
      <c r="BB154" s="65" t="s">
        <v>523</v>
      </c>
      <c r="BC154" s="65" t="s">
        <v>593</v>
      </c>
      <c r="BD154" s="65" t="s">
        <v>596</v>
      </c>
      <c r="BE154" s="65" t="s">
        <v>599</v>
      </c>
      <c r="BF154" s="79"/>
      <c r="BG154" s="65"/>
      <c r="BH154" s="78"/>
      <c r="BI154" s="65"/>
      <c r="BJ154" s="68"/>
      <c r="BK154" s="258"/>
    </row>
    <row r="155" spans="1:63" ht="23.25" customHeight="1" x14ac:dyDescent="0.2">
      <c r="A155" s="7">
        <v>154</v>
      </c>
      <c r="B155" s="221">
        <v>32</v>
      </c>
      <c r="C155" s="221" t="s">
        <v>1573</v>
      </c>
      <c r="D155" s="54" t="s">
        <v>17</v>
      </c>
      <c r="E155" s="54"/>
      <c r="F155" s="16">
        <v>82.857140000000001</v>
      </c>
      <c r="G155" s="8">
        <v>10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17">
        <v>0</v>
      </c>
      <c r="T155" s="8">
        <v>7.1428570000000002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14">
        <f t="shared" si="17"/>
        <v>99.999997000000008</v>
      </c>
      <c r="AE155" s="8">
        <v>0</v>
      </c>
      <c r="AF155" s="8">
        <v>0</v>
      </c>
      <c r="AG155" s="8">
        <v>0</v>
      </c>
      <c r="AH155" s="8">
        <v>0</v>
      </c>
      <c r="AI155" s="39" t="s">
        <v>1531</v>
      </c>
      <c r="AJ155" s="7">
        <v>1343</v>
      </c>
      <c r="AK155" s="62">
        <v>1392</v>
      </c>
      <c r="AL155" s="158"/>
      <c r="AM155" s="85"/>
      <c r="AN155" s="85"/>
      <c r="AO155" s="85"/>
      <c r="AP155" s="85"/>
      <c r="AQ155" s="85"/>
      <c r="AR155" s="85"/>
      <c r="AS155" s="85"/>
      <c r="AT155" s="205"/>
      <c r="AU155" s="85"/>
      <c r="AV155" s="196"/>
      <c r="AW155" s="85"/>
      <c r="AX155" s="85"/>
      <c r="AY155" s="39"/>
      <c r="AZ155" s="7"/>
      <c r="BA155" s="62"/>
      <c r="BB155" s="7" t="s">
        <v>544</v>
      </c>
      <c r="BC155" s="7" t="s">
        <v>601</v>
      </c>
      <c r="BD155" s="7" t="s">
        <v>602</v>
      </c>
      <c r="BE155" s="7" t="s">
        <v>604</v>
      </c>
      <c r="BF155" s="39"/>
      <c r="BG155" s="7"/>
      <c r="BH155" s="62"/>
      <c r="BI155" s="7"/>
      <c r="BJ155" s="32"/>
      <c r="BK155" s="223"/>
    </row>
    <row r="156" spans="1:63" ht="23.25" customHeight="1" thickBot="1" x14ac:dyDescent="0.25">
      <c r="A156" s="62">
        <v>155</v>
      </c>
      <c r="B156" s="221"/>
      <c r="C156" s="221"/>
      <c r="D156" s="54" t="s">
        <v>35</v>
      </c>
      <c r="E156" s="54"/>
      <c r="F156" s="16">
        <v>82.142859999999999</v>
      </c>
      <c r="G156" s="8">
        <v>10.71429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17">
        <v>0</v>
      </c>
      <c r="T156" s="8">
        <v>5.7142860000000004</v>
      </c>
      <c r="U156" s="8">
        <v>1.428571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14">
        <f t="shared" si="17"/>
        <v>100.00000700000001</v>
      </c>
      <c r="AE156" s="8">
        <v>0</v>
      </c>
      <c r="AF156" s="8">
        <v>0</v>
      </c>
      <c r="AG156" s="8">
        <v>0</v>
      </c>
      <c r="AH156" s="8">
        <v>0</v>
      </c>
      <c r="AI156" s="39" t="s">
        <v>1531</v>
      </c>
      <c r="AJ156" s="7">
        <v>1343</v>
      </c>
      <c r="AK156" s="62">
        <v>1392</v>
      </c>
      <c r="AL156" s="158"/>
      <c r="AM156" s="85"/>
      <c r="AN156" s="85"/>
      <c r="AO156" s="85"/>
      <c r="AP156" s="85"/>
      <c r="AQ156" s="85"/>
      <c r="AR156" s="85"/>
      <c r="AS156" s="85"/>
      <c r="AT156" s="205"/>
      <c r="AU156" s="85"/>
      <c r="AV156" s="196"/>
      <c r="AW156" s="85"/>
      <c r="AX156" s="85"/>
      <c r="AY156" s="39"/>
      <c r="AZ156" s="7"/>
      <c r="BA156" s="62"/>
      <c r="BB156" s="7" t="s">
        <v>544</v>
      </c>
      <c r="BC156" s="7" t="s">
        <v>600</v>
      </c>
      <c r="BD156" s="7" t="s">
        <v>603</v>
      </c>
      <c r="BE156" s="7" t="s">
        <v>605</v>
      </c>
      <c r="BF156" s="39"/>
      <c r="BG156" s="7"/>
      <c r="BH156" s="62"/>
      <c r="BI156" s="7"/>
      <c r="BJ156" s="32"/>
      <c r="BK156" s="223"/>
    </row>
    <row r="157" spans="1:63" s="4" customFormat="1" ht="23.25" customHeight="1" x14ac:dyDescent="0.2">
      <c r="A157" s="7">
        <v>156</v>
      </c>
      <c r="B157" s="238">
        <v>34</v>
      </c>
      <c r="C157" s="238" t="s">
        <v>1572</v>
      </c>
      <c r="D157" s="225" t="s">
        <v>2</v>
      </c>
      <c r="E157" s="12" t="s">
        <v>309</v>
      </c>
      <c r="F157" s="87">
        <v>81.714290000000005</v>
      </c>
      <c r="G157" s="88">
        <v>11.142860000000001</v>
      </c>
      <c r="H157" s="88">
        <v>0</v>
      </c>
      <c r="I157" s="88">
        <v>0</v>
      </c>
      <c r="J157" s="88">
        <v>0</v>
      </c>
      <c r="K157" s="88">
        <v>0</v>
      </c>
      <c r="L157" s="88">
        <v>0</v>
      </c>
      <c r="M157" s="88">
        <v>0</v>
      </c>
      <c r="N157" s="88">
        <v>0</v>
      </c>
      <c r="O157" s="88">
        <v>0</v>
      </c>
      <c r="P157" s="88">
        <v>0</v>
      </c>
      <c r="Q157" s="88">
        <v>0</v>
      </c>
      <c r="R157" s="88">
        <v>0</v>
      </c>
      <c r="S157" s="89">
        <v>0</v>
      </c>
      <c r="T157" s="88">
        <v>7.1428570000000002</v>
      </c>
      <c r="U157" s="88">
        <v>0</v>
      </c>
      <c r="V157" s="88">
        <v>0</v>
      </c>
      <c r="W157" s="88">
        <v>0</v>
      </c>
      <c r="X157" s="88">
        <v>0</v>
      </c>
      <c r="Y157" s="88">
        <v>0</v>
      </c>
      <c r="Z157" s="88">
        <v>0</v>
      </c>
      <c r="AA157" s="88">
        <v>0</v>
      </c>
      <c r="AB157" s="88">
        <v>0</v>
      </c>
      <c r="AC157" s="88">
        <v>0</v>
      </c>
      <c r="AD157" s="90">
        <f t="shared" si="17"/>
        <v>100.00000700000001</v>
      </c>
      <c r="AE157" s="88">
        <v>0</v>
      </c>
      <c r="AF157" s="88">
        <v>0</v>
      </c>
      <c r="AG157" s="88">
        <v>0</v>
      </c>
      <c r="AH157" s="88">
        <v>0</v>
      </c>
      <c r="AI157" s="156" t="s">
        <v>1531</v>
      </c>
      <c r="AJ157" s="45">
        <v>240</v>
      </c>
      <c r="AK157" s="91">
        <v>1323</v>
      </c>
      <c r="AL157" s="197"/>
      <c r="AM157" s="189"/>
      <c r="AN157" s="189"/>
      <c r="AO157" s="189"/>
      <c r="AP157" s="189"/>
      <c r="AQ157" s="189"/>
      <c r="AR157" s="189"/>
      <c r="AS157" s="189"/>
      <c r="AT157" s="198"/>
      <c r="AU157" s="189"/>
      <c r="AV157" s="199"/>
      <c r="AW157" s="189"/>
      <c r="AX157" s="189"/>
      <c r="AY157" s="156">
        <v>0.5</v>
      </c>
      <c r="AZ157" s="45">
        <v>195</v>
      </c>
      <c r="BA157" s="91"/>
      <c r="BB157" s="45" t="s">
        <v>1238</v>
      </c>
      <c r="BC157" s="45" t="s">
        <v>1882</v>
      </c>
      <c r="BD157" s="45"/>
      <c r="BE157" s="45" t="s">
        <v>1883</v>
      </c>
      <c r="BF157" s="156" t="s">
        <v>1238</v>
      </c>
      <c r="BG157" s="45" t="s">
        <v>1884</v>
      </c>
      <c r="BH157" s="91"/>
      <c r="BI157" s="45"/>
      <c r="BJ157" s="67"/>
      <c r="BK157" s="12" t="s">
        <v>8</v>
      </c>
    </row>
    <row r="158" spans="1:63" ht="23.25" customHeight="1" x14ac:dyDescent="0.2">
      <c r="A158" s="62">
        <v>157</v>
      </c>
      <c r="B158" s="221"/>
      <c r="C158" s="221"/>
      <c r="D158" s="223"/>
      <c r="E158" s="54" t="s">
        <v>304</v>
      </c>
      <c r="F158" s="16">
        <v>81.714290000000005</v>
      </c>
      <c r="G158" s="8">
        <v>11.142860000000001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17">
        <v>0</v>
      </c>
      <c r="T158" s="8">
        <v>7.1428570000000002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14">
        <f t="shared" si="17"/>
        <v>100.00000700000001</v>
      </c>
      <c r="AE158" s="8">
        <f>1.1/14*100</f>
        <v>7.8571428571428585</v>
      </c>
      <c r="AF158" s="8">
        <v>0</v>
      </c>
      <c r="AG158" s="8">
        <v>0</v>
      </c>
      <c r="AH158" s="8">
        <v>0</v>
      </c>
      <c r="AI158" s="39" t="s">
        <v>1531</v>
      </c>
      <c r="AJ158" s="7">
        <v>240</v>
      </c>
      <c r="AK158" s="62">
        <v>1323</v>
      </c>
      <c r="AL158" s="158"/>
      <c r="AM158" s="85"/>
      <c r="AN158" s="85"/>
      <c r="AO158" s="85"/>
      <c r="AP158" s="85"/>
      <c r="AQ158" s="85"/>
      <c r="AR158" s="85"/>
      <c r="AS158" s="85"/>
      <c r="AT158" s="205"/>
      <c r="AU158" s="85"/>
      <c r="AV158" s="196"/>
      <c r="AW158" s="85"/>
      <c r="AX158" s="85"/>
      <c r="AY158" s="39">
        <v>0.5</v>
      </c>
      <c r="AZ158" s="7">
        <v>290</v>
      </c>
      <c r="BA158" s="62"/>
      <c r="BB158" s="7"/>
      <c r="BC158" s="7"/>
      <c r="BD158" s="7"/>
      <c r="BE158" s="7"/>
      <c r="BF158" s="39"/>
      <c r="BG158" s="7"/>
      <c r="BH158" s="62"/>
      <c r="BI158" s="7"/>
      <c r="BJ158" s="32"/>
      <c r="BK158" s="54" t="s">
        <v>1744</v>
      </c>
    </row>
    <row r="159" spans="1:63" ht="23.25" customHeight="1" x14ac:dyDescent="0.2">
      <c r="A159" s="7">
        <v>158</v>
      </c>
      <c r="B159" s="221"/>
      <c r="C159" s="221"/>
      <c r="D159" s="223"/>
      <c r="E159" s="54" t="s">
        <v>310</v>
      </c>
      <c r="F159" s="16">
        <v>81.714290000000005</v>
      </c>
      <c r="G159" s="8">
        <v>11.142860000000001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17">
        <v>0</v>
      </c>
      <c r="T159" s="8">
        <v>7.1428570000000002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14">
        <f t="shared" si="17"/>
        <v>100.00000700000001</v>
      </c>
      <c r="AE159" s="8">
        <f>1.6/14*100</f>
        <v>11.428571428571429</v>
      </c>
      <c r="AF159" s="8">
        <v>0</v>
      </c>
      <c r="AG159" s="8">
        <v>0</v>
      </c>
      <c r="AH159" s="8">
        <v>0</v>
      </c>
      <c r="AI159" s="39" t="s">
        <v>1531</v>
      </c>
      <c r="AJ159" s="7">
        <v>240</v>
      </c>
      <c r="AK159" s="62">
        <v>1323</v>
      </c>
      <c r="AL159" s="158"/>
      <c r="AM159" s="85"/>
      <c r="AN159" s="85"/>
      <c r="AO159" s="85"/>
      <c r="AP159" s="85"/>
      <c r="AQ159" s="85"/>
      <c r="AR159" s="85"/>
      <c r="AS159" s="85"/>
      <c r="AT159" s="205"/>
      <c r="AU159" s="85"/>
      <c r="AV159" s="196"/>
      <c r="AW159" s="85"/>
      <c r="AX159" s="85"/>
      <c r="AY159" s="39">
        <v>0.5</v>
      </c>
      <c r="AZ159" s="7">
        <v>325</v>
      </c>
      <c r="BA159" s="62"/>
      <c r="BB159" s="7"/>
      <c r="BC159" s="7"/>
      <c r="BD159" s="7"/>
      <c r="BE159" s="7"/>
      <c r="BF159" s="39"/>
      <c r="BG159" s="7"/>
      <c r="BH159" s="62"/>
      <c r="BI159" s="7"/>
      <c r="BJ159" s="32"/>
      <c r="BK159" s="54" t="s">
        <v>1756</v>
      </c>
    </row>
    <row r="160" spans="1:63" ht="23.25" customHeight="1" x14ac:dyDescent="0.2">
      <c r="A160" s="62">
        <v>159</v>
      </c>
      <c r="B160" s="221"/>
      <c r="C160" s="221"/>
      <c r="D160" s="223" t="s">
        <v>36</v>
      </c>
      <c r="E160" s="54" t="s">
        <v>309</v>
      </c>
      <c r="F160" s="16">
        <v>82.642859999999999</v>
      </c>
      <c r="G160" s="8">
        <v>10.21429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17">
        <v>0</v>
      </c>
      <c r="T160" s="8">
        <v>7.1428570000000002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14">
        <f t="shared" si="17"/>
        <v>100.00000700000001</v>
      </c>
      <c r="AE160" s="8">
        <v>0</v>
      </c>
      <c r="AF160" s="8">
        <v>0</v>
      </c>
      <c r="AG160" s="8">
        <v>0</v>
      </c>
      <c r="AH160" s="8">
        <v>0</v>
      </c>
      <c r="AI160" s="39" t="s">
        <v>1531</v>
      </c>
      <c r="AJ160" s="7">
        <v>240</v>
      </c>
      <c r="AK160" s="62">
        <v>1323</v>
      </c>
      <c r="AL160" s="158"/>
      <c r="AM160" s="85"/>
      <c r="AN160" s="85"/>
      <c r="AO160" s="85"/>
      <c r="AP160" s="85"/>
      <c r="AQ160" s="85"/>
      <c r="AR160" s="85"/>
      <c r="AS160" s="85"/>
      <c r="AT160" s="205"/>
      <c r="AU160" s="85"/>
      <c r="AV160" s="196"/>
      <c r="AW160" s="85"/>
      <c r="AX160" s="85"/>
      <c r="AY160" s="39"/>
      <c r="AZ160" s="7"/>
      <c r="BA160" s="62"/>
      <c r="BB160" s="7"/>
      <c r="BC160" s="7"/>
      <c r="BD160" s="7"/>
      <c r="BE160" s="7"/>
      <c r="BF160" s="39">
        <v>2</v>
      </c>
      <c r="BG160" s="7">
        <v>5.4</v>
      </c>
      <c r="BH160" s="62">
        <v>189</v>
      </c>
      <c r="BI160" s="7"/>
      <c r="BJ160" s="32"/>
      <c r="BK160" s="54" t="s">
        <v>37</v>
      </c>
    </row>
    <row r="161" spans="1:63" s="6" customFormat="1" ht="23.25" customHeight="1" thickBot="1" x14ac:dyDescent="0.25">
      <c r="A161" s="7">
        <v>160</v>
      </c>
      <c r="B161" s="222"/>
      <c r="C161" s="222"/>
      <c r="D161" s="224"/>
      <c r="E161" s="13" t="s">
        <v>310</v>
      </c>
      <c r="F161" s="80">
        <v>82.642859999999999</v>
      </c>
      <c r="G161" s="81">
        <v>10.21429</v>
      </c>
      <c r="H161" s="81">
        <v>0</v>
      </c>
      <c r="I161" s="81">
        <v>0</v>
      </c>
      <c r="J161" s="81">
        <v>0</v>
      </c>
      <c r="K161" s="81">
        <v>0</v>
      </c>
      <c r="L161" s="81">
        <v>0</v>
      </c>
      <c r="M161" s="81">
        <v>0</v>
      </c>
      <c r="N161" s="81">
        <v>0</v>
      </c>
      <c r="O161" s="81">
        <v>0</v>
      </c>
      <c r="P161" s="81">
        <v>0</v>
      </c>
      <c r="Q161" s="81">
        <v>0</v>
      </c>
      <c r="R161" s="81">
        <v>0</v>
      </c>
      <c r="S161" s="82">
        <v>0</v>
      </c>
      <c r="T161" s="81">
        <v>7.1428570000000002</v>
      </c>
      <c r="U161" s="81">
        <v>0</v>
      </c>
      <c r="V161" s="81">
        <v>0</v>
      </c>
      <c r="W161" s="81">
        <v>0</v>
      </c>
      <c r="X161" s="81">
        <v>0</v>
      </c>
      <c r="Y161" s="81">
        <v>0</v>
      </c>
      <c r="Z161" s="81">
        <v>0</v>
      </c>
      <c r="AA161" s="81">
        <v>0</v>
      </c>
      <c r="AB161" s="81">
        <v>0</v>
      </c>
      <c r="AC161" s="81">
        <v>0</v>
      </c>
      <c r="AD161" s="83">
        <f t="shared" si="17"/>
        <v>100.00000700000001</v>
      </c>
      <c r="AE161" s="81">
        <f>1.6/14*100</f>
        <v>11.428571428571429</v>
      </c>
      <c r="AF161" s="81">
        <v>0</v>
      </c>
      <c r="AG161" s="81">
        <v>0</v>
      </c>
      <c r="AH161" s="81">
        <v>0</v>
      </c>
      <c r="AI161" s="79" t="s">
        <v>1531</v>
      </c>
      <c r="AJ161" s="65">
        <v>240</v>
      </c>
      <c r="AK161" s="78">
        <v>1323</v>
      </c>
      <c r="AL161" s="200"/>
      <c r="AM161" s="190"/>
      <c r="AN161" s="190"/>
      <c r="AO161" s="190"/>
      <c r="AP161" s="190"/>
      <c r="AQ161" s="190"/>
      <c r="AR161" s="190"/>
      <c r="AS161" s="190"/>
      <c r="AT161" s="201"/>
      <c r="AU161" s="190"/>
      <c r="AV161" s="202"/>
      <c r="AW161" s="190"/>
      <c r="AX161" s="190"/>
      <c r="AY161" s="79"/>
      <c r="AZ161" s="65"/>
      <c r="BA161" s="78"/>
      <c r="BB161" s="65"/>
      <c r="BC161" s="65"/>
      <c r="BD161" s="65"/>
      <c r="BE161" s="65"/>
      <c r="BF161" s="79">
        <v>2</v>
      </c>
      <c r="BG161" s="65">
        <v>4</v>
      </c>
      <c r="BH161" s="78">
        <v>321</v>
      </c>
      <c r="BI161" s="65"/>
      <c r="BJ161" s="68"/>
      <c r="BK161" s="13"/>
    </row>
    <row r="162" spans="1:63" ht="23.25" customHeight="1" thickBot="1" x14ac:dyDescent="0.25">
      <c r="A162" s="62">
        <v>161</v>
      </c>
      <c r="B162" s="221">
        <v>37</v>
      </c>
      <c r="C162" s="221" t="s">
        <v>1571</v>
      </c>
      <c r="D162" s="225" t="s">
        <v>311</v>
      </c>
      <c r="E162" s="54" t="s">
        <v>309</v>
      </c>
      <c r="F162" s="16">
        <v>81.714290000000005</v>
      </c>
      <c r="G162" s="8">
        <v>11.142860000000001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17">
        <v>0</v>
      </c>
      <c r="T162" s="8">
        <v>7.1428570000000002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14">
        <f t="shared" si="17"/>
        <v>100.00000700000001</v>
      </c>
      <c r="AE162" s="8">
        <v>0</v>
      </c>
      <c r="AF162" s="8">
        <v>0</v>
      </c>
      <c r="AG162" s="8">
        <v>0</v>
      </c>
      <c r="AH162" s="8">
        <v>0</v>
      </c>
      <c r="AI162" s="39" t="s">
        <v>1531</v>
      </c>
      <c r="AJ162" s="7">
        <v>144</v>
      </c>
      <c r="AK162" s="62">
        <v>1293</v>
      </c>
      <c r="AL162" s="158"/>
      <c r="AM162" s="85"/>
      <c r="AN162" s="85"/>
      <c r="AO162" s="85"/>
      <c r="AP162" s="85"/>
      <c r="AQ162" s="85"/>
      <c r="AR162" s="85"/>
      <c r="AS162" s="85"/>
      <c r="AT162" s="205"/>
      <c r="AU162" s="85"/>
      <c r="AV162" s="196"/>
      <c r="AW162" s="85">
        <v>11.458</v>
      </c>
      <c r="AX162" s="85"/>
      <c r="AY162" s="39">
        <v>0.3</v>
      </c>
      <c r="AZ162" s="7">
        <v>210</v>
      </c>
      <c r="BA162" s="62"/>
      <c r="BB162" s="7" t="s">
        <v>1885</v>
      </c>
      <c r="BC162" s="7" t="s">
        <v>1886</v>
      </c>
      <c r="BD162" s="7" t="s">
        <v>1888</v>
      </c>
      <c r="BE162" s="7" t="s">
        <v>1887</v>
      </c>
      <c r="BF162" s="39"/>
      <c r="BG162" s="7"/>
      <c r="BH162" s="62"/>
      <c r="BI162" s="7"/>
      <c r="BJ162" s="32"/>
      <c r="BK162" s="256"/>
    </row>
    <row r="163" spans="1:63" ht="23.25" customHeight="1" thickBot="1" x14ac:dyDescent="0.25">
      <c r="A163" s="7">
        <v>162</v>
      </c>
      <c r="B163" s="221"/>
      <c r="C163" s="221"/>
      <c r="D163" s="223"/>
      <c r="E163" s="54" t="s">
        <v>312</v>
      </c>
      <c r="F163" s="16">
        <v>81.714290000000005</v>
      </c>
      <c r="G163" s="8">
        <v>11.142860000000001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17">
        <v>0</v>
      </c>
      <c r="T163" s="8">
        <v>6.4285709999999998</v>
      </c>
      <c r="U163" s="8">
        <v>0.71428599999999998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14">
        <f t="shared" si="17"/>
        <v>100.00000700000001</v>
      </c>
      <c r="AE163" s="8">
        <v>0</v>
      </c>
      <c r="AF163" s="8">
        <v>0</v>
      </c>
      <c r="AG163" s="8">
        <v>0</v>
      </c>
      <c r="AH163" s="8">
        <v>0</v>
      </c>
      <c r="AI163" s="39" t="s">
        <v>1531</v>
      </c>
      <c r="AJ163" s="7">
        <v>144</v>
      </c>
      <c r="AK163" s="62">
        <v>1293</v>
      </c>
      <c r="AL163" s="158"/>
      <c r="AM163" s="85"/>
      <c r="AN163" s="85"/>
      <c r="AO163" s="85"/>
      <c r="AP163" s="85"/>
      <c r="AQ163" s="85"/>
      <c r="AR163" s="85"/>
      <c r="AS163" s="85"/>
      <c r="AT163" s="205"/>
      <c r="AU163" s="85"/>
      <c r="AV163" s="196"/>
      <c r="AW163" s="85">
        <v>11.45</v>
      </c>
      <c r="AX163" s="85"/>
      <c r="AY163" s="39">
        <v>0.3</v>
      </c>
      <c r="AZ163" s="7">
        <v>211</v>
      </c>
      <c r="BA163" s="62"/>
      <c r="BB163" s="7"/>
      <c r="BC163" s="7"/>
      <c r="BD163" s="7"/>
      <c r="BE163" s="7"/>
      <c r="BF163" s="39"/>
      <c r="BG163" s="7"/>
      <c r="BH163" s="62"/>
      <c r="BI163" s="7"/>
      <c r="BJ163" s="32"/>
      <c r="BK163" s="256"/>
    </row>
    <row r="164" spans="1:63" ht="23.25" customHeight="1" thickBot="1" x14ac:dyDescent="0.25">
      <c r="A164" s="62">
        <v>163</v>
      </c>
      <c r="B164" s="221"/>
      <c r="C164" s="221"/>
      <c r="D164" s="223"/>
      <c r="E164" s="54" t="s">
        <v>313</v>
      </c>
      <c r="F164" s="16">
        <v>81.714290000000005</v>
      </c>
      <c r="G164" s="8">
        <v>11.142860000000001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17">
        <v>0</v>
      </c>
      <c r="T164" s="8">
        <v>5</v>
      </c>
      <c r="U164" s="8">
        <v>2.1428569999999998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14">
        <f t="shared" si="17"/>
        <v>100.00000700000001</v>
      </c>
      <c r="AE164" s="8">
        <v>0</v>
      </c>
      <c r="AF164" s="8">
        <v>0</v>
      </c>
      <c r="AG164" s="8">
        <v>0</v>
      </c>
      <c r="AH164" s="8">
        <v>0</v>
      </c>
      <c r="AI164" s="39" t="s">
        <v>1531</v>
      </c>
      <c r="AJ164" s="7">
        <v>144</v>
      </c>
      <c r="AK164" s="62">
        <v>1293</v>
      </c>
      <c r="AL164" s="158"/>
      <c r="AM164" s="85"/>
      <c r="AN164" s="85"/>
      <c r="AO164" s="85"/>
      <c r="AP164" s="85"/>
      <c r="AQ164" s="85"/>
      <c r="AR164" s="85"/>
      <c r="AS164" s="85"/>
      <c r="AT164" s="205"/>
      <c r="AU164" s="85"/>
      <c r="AV164" s="196"/>
      <c r="AW164" s="85">
        <v>11.426</v>
      </c>
      <c r="AX164" s="85"/>
      <c r="AY164" s="39">
        <v>0.3</v>
      </c>
      <c r="AZ164" s="7">
        <v>215</v>
      </c>
      <c r="BA164" s="62"/>
      <c r="BB164" s="7" t="s">
        <v>1885</v>
      </c>
      <c r="BC164" s="7" t="s">
        <v>1889</v>
      </c>
      <c r="BD164" s="7" t="s">
        <v>1943</v>
      </c>
      <c r="BE164" s="7" t="s">
        <v>1890</v>
      </c>
      <c r="BF164" s="39"/>
      <c r="BG164" s="7"/>
      <c r="BH164" s="62"/>
      <c r="BI164" s="7"/>
      <c r="BJ164" s="32"/>
      <c r="BK164" s="256"/>
    </row>
    <row r="165" spans="1:63" ht="23.25" customHeight="1" thickBot="1" x14ac:dyDescent="0.25">
      <c r="A165" s="7">
        <v>164</v>
      </c>
      <c r="B165" s="222"/>
      <c r="C165" s="221"/>
      <c r="D165" s="224"/>
      <c r="E165" s="54" t="s">
        <v>314</v>
      </c>
      <c r="F165" s="16">
        <v>81.714290000000005</v>
      </c>
      <c r="G165" s="8">
        <v>11.142860000000001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17">
        <v>0</v>
      </c>
      <c r="T165" s="8">
        <v>4.2857139999999996</v>
      </c>
      <c r="U165" s="8">
        <v>2.8571430000000002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14">
        <f t="shared" si="17"/>
        <v>100.000007</v>
      </c>
      <c r="AE165" s="8">
        <v>0</v>
      </c>
      <c r="AF165" s="8">
        <v>0</v>
      </c>
      <c r="AG165" s="8">
        <v>0</v>
      </c>
      <c r="AH165" s="8">
        <v>0</v>
      </c>
      <c r="AI165" s="39" t="s">
        <v>1531</v>
      </c>
      <c r="AJ165" s="7">
        <v>144</v>
      </c>
      <c r="AK165" s="62">
        <v>1293</v>
      </c>
      <c r="AL165" s="158"/>
      <c r="AM165" s="85"/>
      <c r="AN165" s="85"/>
      <c r="AO165" s="85"/>
      <c r="AP165" s="85"/>
      <c r="AQ165" s="85"/>
      <c r="AR165" s="85"/>
      <c r="AS165" s="85"/>
      <c r="AT165" s="205"/>
      <c r="AU165" s="85"/>
      <c r="AV165" s="196"/>
      <c r="AW165" s="85">
        <v>11.419</v>
      </c>
      <c r="AX165" s="85"/>
      <c r="AY165" s="39">
        <v>0.3</v>
      </c>
      <c r="AZ165" s="7">
        <v>204</v>
      </c>
      <c r="BA165" s="62"/>
      <c r="BB165" s="7"/>
      <c r="BC165" s="7"/>
      <c r="BD165" s="7"/>
      <c r="BE165" s="7"/>
      <c r="BF165" s="39"/>
      <c r="BG165" s="7"/>
      <c r="BH165" s="62"/>
      <c r="BI165" s="7"/>
      <c r="BJ165" s="32"/>
      <c r="BK165" s="256"/>
    </row>
    <row r="166" spans="1:63" s="19" customFormat="1" ht="23.25" customHeight="1" thickBot="1" x14ac:dyDescent="0.25">
      <c r="A166" s="62">
        <v>165</v>
      </c>
      <c r="B166" s="70">
        <v>38</v>
      </c>
      <c r="C166" s="70" t="s">
        <v>1570</v>
      </c>
      <c r="D166" s="21" t="s">
        <v>17</v>
      </c>
      <c r="E166" s="21"/>
      <c r="F166" s="99">
        <v>82.857140000000001</v>
      </c>
      <c r="G166" s="100">
        <v>10</v>
      </c>
      <c r="H166" s="100">
        <v>0</v>
      </c>
      <c r="I166" s="100">
        <v>0</v>
      </c>
      <c r="J166" s="100">
        <v>0</v>
      </c>
      <c r="K166" s="100">
        <v>0</v>
      </c>
      <c r="L166" s="100">
        <v>0</v>
      </c>
      <c r="M166" s="100">
        <v>0</v>
      </c>
      <c r="N166" s="100">
        <v>0</v>
      </c>
      <c r="O166" s="100">
        <v>0</v>
      </c>
      <c r="P166" s="100">
        <v>0</v>
      </c>
      <c r="Q166" s="100">
        <v>0</v>
      </c>
      <c r="R166" s="100">
        <v>0</v>
      </c>
      <c r="S166" s="101">
        <v>0</v>
      </c>
      <c r="T166" s="100">
        <v>7.1428570000000002</v>
      </c>
      <c r="U166" s="100">
        <v>0</v>
      </c>
      <c r="V166" s="100">
        <v>0</v>
      </c>
      <c r="W166" s="100">
        <v>0</v>
      </c>
      <c r="X166" s="100">
        <v>0</v>
      </c>
      <c r="Y166" s="100">
        <v>0</v>
      </c>
      <c r="Z166" s="100">
        <v>0</v>
      </c>
      <c r="AA166" s="100">
        <v>0</v>
      </c>
      <c r="AB166" s="100">
        <v>0</v>
      </c>
      <c r="AC166" s="100">
        <v>0</v>
      </c>
      <c r="AD166" s="102">
        <f t="shared" si="17"/>
        <v>99.999997000000008</v>
      </c>
      <c r="AE166" s="100">
        <v>0</v>
      </c>
      <c r="AF166" s="100">
        <v>0</v>
      </c>
      <c r="AG166" s="100">
        <v>0</v>
      </c>
      <c r="AH166" s="100">
        <v>0</v>
      </c>
      <c r="AI166" s="120" t="s">
        <v>1531</v>
      </c>
      <c r="AJ166" s="98">
        <v>168</v>
      </c>
      <c r="AK166" s="105">
        <v>1323</v>
      </c>
      <c r="AL166" s="206"/>
      <c r="AM166" s="194"/>
      <c r="AN166" s="194"/>
      <c r="AO166" s="194"/>
      <c r="AP166" s="194"/>
      <c r="AQ166" s="194"/>
      <c r="AR166" s="194"/>
      <c r="AS166" s="194"/>
      <c r="AT166" s="207"/>
      <c r="AU166" s="194"/>
      <c r="AV166" s="208"/>
      <c r="AW166" s="194"/>
      <c r="AX166" s="194"/>
      <c r="AY166" s="120"/>
      <c r="AZ166" s="98"/>
      <c r="BA166" s="105"/>
      <c r="BB166" s="98"/>
      <c r="BC166" s="98"/>
      <c r="BD166" s="98"/>
      <c r="BE166" s="98"/>
      <c r="BF166" s="120">
        <v>1.9</v>
      </c>
      <c r="BG166" s="98">
        <v>7.8</v>
      </c>
      <c r="BH166" s="105"/>
      <c r="BI166" s="98"/>
      <c r="BJ166" s="70"/>
      <c r="BK166" s="21"/>
    </row>
    <row r="167" spans="1:63" ht="23.25" customHeight="1" thickBot="1" x14ac:dyDescent="0.25">
      <c r="A167" s="7">
        <v>166</v>
      </c>
      <c r="B167" s="32">
        <v>39</v>
      </c>
      <c r="C167" s="32" t="s">
        <v>1569</v>
      </c>
      <c r="D167" s="54" t="s">
        <v>39</v>
      </c>
      <c r="E167" s="54"/>
      <c r="F167" s="16">
        <f>11.7/14*100</f>
        <v>83.571428571428569</v>
      </c>
      <c r="G167" s="8">
        <f>1.3/14*100</f>
        <v>9.2857142857142865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17">
        <v>0</v>
      </c>
      <c r="T167" s="8">
        <v>7.1428570000000002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14">
        <f>SUM(F167:AC167)</f>
        <v>99.999999857142868</v>
      </c>
      <c r="AE167" s="8">
        <v>12.8571428571429</v>
      </c>
      <c r="AF167" s="8">
        <f>0.2/14*100</f>
        <v>1.4285714285714286</v>
      </c>
      <c r="AG167" s="8">
        <v>0</v>
      </c>
      <c r="AH167" s="8">
        <v>0</v>
      </c>
      <c r="AI167" s="39" t="s">
        <v>1531</v>
      </c>
      <c r="AJ167" s="7">
        <v>960</v>
      </c>
      <c r="AK167" s="62">
        <v>1373</v>
      </c>
      <c r="AL167" s="158"/>
      <c r="AM167" s="85">
        <v>4.5</v>
      </c>
      <c r="AN167" s="85">
        <v>1</v>
      </c>
      <c r="AO167" s="85"/>
      <c r="AP167" s="85"/>
      <c r="AQ167" s="85"/>
      <c r="AR167" s="85"/>
      <c r="AS167" s="85"/>
      <c r="AT167" s="205"/>
      <c r="AU167" s="85">
        <v>0</v>
      </c>
      <c r="AV167" s="196">
        <f t="shared" ref="AV167:AV174" si="19">SUM(AL167:AT167)</f>
        <v>5.5</v>
      </c>
      <c r="AW167" s="85"/>
      <c r="AX167" s="85"/>
      <c r="AY167" s="39"/>
      <c r="AZ167" s="7"/>
      <c r="BA167" s="62"/>
      <c r="BB167" s="7">
        <v>2</v>
      </c>
      <c r="BC167" s="7">
        <v>11</v>
      </c>
      <c r="BD167" s="7">
        <v>325.3</v>
      </c>
      <c r="BE167" s="7">
        <v>12.4</v>
      </c>
      <c r="BF167" s="39"/>
      <c r="BG167" s="7"/>
      <c r="BH167" s="62"/>
      <c r="BI167" s="7">
        <v>7.08</v>
      </c>
      <c r="BJ167" s="32"/>
      <c r="BK167" s="54"/>
    </row>
    <row r="168" spans="1:63" s="4" customFormat="1" ht="23.25" customHeight="1" thickBot="1" x14ac:dyDescent="0.25">
      <c r="A168" s="62">
        <v>167</v>
      </c>
      <c r="B168" s="238">
        <v>41</v>
      </c>
      <c r="C168" s="238" t="s">
        <v>1568</v>
      </c>
      <c r="D168" s="12" t="s">
        <v>45</v>
      </c>
      <c r="E168" s="12">
        <v>1</v>
      </c>
      <c r="F168" s="87">
        <v>80.357140000000001</v>
      </c>
      <c r="G168" s="88">
        <v>7.8571429999999998</v>
      </c>
      <c r="H168" s="88">
        <v>0</v>
      </c>
      <c r="I168" s="88">
        <v>0</v>
      </c>
      <c r="J168" s="88">
        <v>4.6399999999999997</v>
      </c>
      <c r="K168" s="88">
        <v>0</v>
      </c>
      <c r="L168" s="88">
        <v>0</v>
      </c>
      <c r="M168" s="88">
        <v>0</v>
      </c>
      <c r="N168" s="88">
        <v>0</v>
      </c>
      <c r="O168" s="88">
        <v>0</v>
      </c>
      <c r="P168" s="88">
        <v>0</v>
      </c>
      <c r="Q168" s="88">
        <v>0</v>
      </c>
      <c r="R168" s="88">
        <v>0</v>
      </c>
      <c r="S168" s="89">
        <v>0</v>
      </c>
      <c r="T168" s="88">
        <v>7.1428570000000002</v>
      </c>
      <c r="U168" s="88">
        <v>0</v>
      </c>
      <c r="V168" s="88">
        <v>0</v>
      </c>
      <c r="W168" s="88">
        <v>0</v>
      </c>
      <c r="X168" s="88">
        <v>0</v>
      </c>
      <c r="Y168" s="88">
        <v>0</v>
      </c>
      <c r="Z168" s="88">
        <v>0</v>
      </c>
      <c r="AA168" s="88">
        <v>0</v>
      </c>
      <c r="AB168" s="88">
        <v>0</v>
      </c>
      <c r="AC168" s="88">
        <v>0</v>
      </c>
      <c r="AD168" s="90">
        <f>SUM(F168:AC168)</f>
        <v>99.997140000000002</v>
      </c>
      <c r="AE168" s="88">
        <v>0</v>
      </c>
      <c r="AF168" s="88">
        <v>0</v>
      </c>
      <c r="AG168" s="88">
        <v>0</v>
      </c>
      <c r="AH168" s="88">
        <v>0</v>
      </c>
      <c r="AI168" s="156"/>
      <c r="AJ168" s="45"/>
      <c r="AK168" s="91"/>
      <c r="AL168" s="197">
        <v>89.8</v>
      </c>
      <c r="AM168" s="189">
        <v>5</v>
      </c>
      <c r="AN168" s="189">
        <v>3.5</v>
      </c>
      <c r="AO168" s="189"/>
      <c r="AP168" s="189"/>
      <c r="AQ168" s="189"/>
      <c r="AR168" s="189">
        <v>1.7</v>
      </c>
      <c r="AS168" s="189"/>
      <c r="AT168" s="198"/>
      <c r="AU168" s="189">
        <v>0</v>
      </c>
      <c r="AV168" s="199">
        <f t="shared" si="19"/>
        <v>100</v>
      </c>
      <c r="AW168" s="189">
        <v>11.494999999999999</v>
      </c>
      <c r="AX168" s="189"/>
      <c r="AY168" s="156">
        <v>0.01</v>
      </c>
      <c r="AZ168" s="45">
        <v>255</v>
      </c>
      <c r="BA168" s="91"/>
      <c r="BB168" s="45" t="s">
        <v>607</v>
      </c>
      <c r="BC168" s="45" t="s">
        <v>1493</v>
      </c>
      <c r="BD168" s="45" t="s">
        <v>614</v>
      </c>
      <c r="BE168" s="45" t="s">
        <v>615</v>
      </c>
      <c r="BF168" s="156"/>
      <c r="BG168" s="45"/>
      <c r="BH168" s="91"/>
      <c r="BI168" s="45">
        <v>7.24</v>
      </c>
      <c r="BJ168" s="67"/>
      <c r="BK168" s="256" t="s">
        <v>40</v>
      </c>
    </row>
    <row r="169" spans="1:63" ht="23.25" customHeight="1" thickBot="1" x14ac:dyDescent="0.25">
      <c r="A169" s="7">
        <v>168</v>
      </c>
      <c r="B169" s="221"/>
      <c r="C169" s="221"/>
      <c r="D169" s="54" t="s">
        <v>46</v>
      </c>
      <c r="E169" s="54">
        <v>2</v>
      </c>
      <c r="F169" s="16">
        <v>79.571430000000007</v>
      </c>
      <c r="G169" s="8">
        <v>7.8571429999999998</v>
      </c>
      <c r="H169" s="8">
        <v>0</v>
      </c>
      <c r="I169" s="8">
        <v>0</v>
      </c>
      <c r="J169" s="8">
        <v>5.43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17">
        <v>0</v>
      </c>
      <c r="T169" s="8">
        <v>7.1428570000000002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14">
        <f t="shared" si="17"/>
        <v>100.00143000000001</v>
      </c>
      <c r="AE169" s="8">
        <v>0</v>
      </c>
      <c r="AF169" s="8">
        <v>0</v>
      </c>
      <c r="AG169" s="8">
        <v>0</v>
      </c>
      <c r="AH169" s="8">
        <v>0</v>
      </c>
      <c r="AJ169" s="7"/>
      <c r="AK169" s="62"/>
      <c r="AL169" s="158">
        <v>88</v>
      </c>
      <c r="AM169" s="85">
        <v>5.9</v>
      </c>
      <c r="AN169" s="85">
        <v>4.5</v>
      </c>
      <c r="AO169" s="85"/>
      <c r="AP169" s="85"/>
      <c r="AQ169" s="85"/>
      <c r="AR169" s="85">
        <v>1.6</v>
      </c>
      <c r="AS169" s="85"/>
      <c r="AT169" s="205"/>
      <c r="AU169" s="85">
        <v>0</v>
      </c>
      <c r="AV169" s="196">
        <f t="shared" si="19"/>
        <v>100</v>
      </c>
      <c r="AW169" s="85">
        <v>11.497999999999999</v>
      </c>
      <c r="AX169" s="85"/>
      <c r="AY169" s="39">
        <v>0.01</v>
      </c>
      <c r="AZ169" s="7">
        <v>266</v>
      </c>
      <c r="BA169" s="62"/>
      <c r="BB169" s="7" t="s">
        <v>607</v>
      </c>
      <c r="BC169" s="7" t="s">
        <v>1494</v>
      </c>
      <c r="BD169" s="7" t="s">
        <v>613</v>
      </c>
      <c r="BE169" s="7" t="s">
        <v>616</v>
      </c>
      <c r="BF169" s="39">
        <v>1</v>
      </c>
      <c r="BG169" s="60">
        <v>1.8</v>
      </c>
      <c r="BH169" s="169">
        <v>267.7</v>
      </c>
      <c r="BI169" s="7">
        <v>7.24</v>
      </c>
      <c r="BJ169" s="32"/>
      <c r="BK169" s="256"/>
    </row>
    <row r="170" spans="1:63" ht="23.25" customHeight="1" thickBot="1" x14ac:dyDescent="0.25">
      <c r="A170" s="62">
        <v>169</v>
      </c>
      <c r="B170" s="221"/>
      <c r="C170" s="221"/>
      <c r="D170" s="54" t="s">
        <v>47</v>
      </c>
      <c r="E170" s="54">
        <v>3</v>
      </c>
      <c r="F170" s="16">
        <v>78.928569999999993</v>
      </c>
      <c r="G170" s="8">
        <v>7.8571429999999998</v>
      </c>
      <c r="H170" s="8">
        <v>0</v>
      </c>
      <c r="I170" s="8">
        <v>0</v>
      </c>
      <c r="J170" s="8">
        <v>6.0714290000000002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17">
        <v>0</v>
      </c>
      <c r="T170" s="8">
        <v>7.1428570000000002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14">
        <f t="shared" si="17"/>
        <v>99.999998999999988</v>
      </c>
      <c r="AE170" s="8">
        <v>0</v>
      </c>
      <c r="AF170" s="8">
        <v>0</v>
      </c>
      <c r="AG170" s="8">
        <v>0</v>
      </c>
      <c r="AH170" s="8">
        <v>0</v>
      </c>
      <c r="AJ170" s="7"/>
      <c r="AK170" s="62"/>
      <c r="AL170" s="158">
        <v>88.3</v>
      </c>
      <c r="AM170" s="85">
        <v>6.5</v>
      </c>
      <c r="AN170" s="85">
        <v>4.0999999999999996</v>
      </c>
      <c r="AO170" s="85"/>
      <c r="AP170" s="85"/>
      <c r="AQ170" s="85"/>
      <c r="AR170" s="85">
        <v>1.1000000000000001</v>
      </c>
      <c r="AS170" s="85"/>
      <c r="AT170" s="205"/>
      <c r="AU170" s="85">
        <v>0</v>
      </c>
      <c r="AV170" s="196">
        <f t="shared" si="19"/>
        <v>99.999999999999986</v>
      </c>
      <c r="AW170" s="85">
        <v>11.512</v>
      </c>
      <c r="AX170" s="85"/>
      <c r="AY170" s="39">
        <v>0.01</v>
      </c>
      <c r="AZ170" s="7">
        <v>281</v>
      </c>
      <c r="BA170" s="62"/>
      <c r="BB170" s="7" t="s">
        <v>606</v>
      </c>
      <c r="BC170" s="7" t="s">
        <v>1495</v>
      </c>
      <c r="BD170" s="7" t="s">
        <v>612</v>
      </c>
      <c r="BE170" s="7" t="s">
        <v>617</v>
      </c>
      <c r="BF170" s="39"/>
      <c r="BG170" s="7"/>
      <c r="BH170" s="62"/>
      <c r="BI170" s="7">
        <v>7.24</v>
      </c>
      <c r="BJ170" s="32"/>
      <c r="BK170" s="256"/>
    </row>
    <row r="171" spans="1:63" ht="23.25" customHeight="1" thickBot="1" x14ac:dyDescent="0.25">
      <c r="A171" s="7">
        <v>170</v>
      </c>
      <c r="B171" s="221"/>
      <c r="C171" s="221"/>
      <c r="D171" s="54" t="s">
        <v>48</v>
      </c>
      <c r="E171" s="54">
        <v>4</v>
      </c>
      <c r="F171" s="16">
        <v>78</v>
      </c>
      <c r="G171" s="8">
        <v>7.8571429999999998</v>
      </c>
      <c r="H171" s="8">
        <v>0</v>
      </c>
      <c r="I171" s="8">
        <v>0</v>
      </c>
      <c r="J171" s="8">
        <v>7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17">
        <v>0</v>
      </c>
      <c r="T171" s="8">
        <v>7.1428570000000002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14">
        <f t="shared" si="17"/>
        <v>100</v>
      </c>
      <c r="AE171" s="8">
        <v>0</v>
      </c>
      <c r="AF171" s="8">
        <v>0</v>
      </c>
      <c r="AG171" s="8">
        <v>0</v>
      </c>
      <c r="AH171" s="8">
        <v>0</v>
      </c>
      <c r="AJ171" s="7"/>
      <c r="AK171" s="62"/>
      <c r="AL171" s="158">
        <v>88</v>
      </c>
      <c r="AM171" s="85">
        <v>6.2</v>
      </c>
      <c r="AN171" s="85">
        <v>4.4000000000000004</v>
      </c>
      <c r="AO171" s="85"/>
      <c r="AP171" s="85"/>
      <c r="AQ171" s="85"/>
      <c r="AR171" s="85">
        <v>1.4</v>
      </c>
      <c r="AS171" s="85"/>
      <c r="AT171" s="205"/>
      <c r="AU171" s="85">
        <v>0</v>
      </c>
      <c r="AV171" s="196">
        <f t="shared" si="19"/>
        <v>100.00000000000001</v>
      </c>
      <c r="AW171" s="85">
        <v>11.509</v>
      </c>
      <c r="AX171" s="85">
        <v>11.509</v>
      </c>
      <c r="AY171" s="39">
        <v>0.01</v>
      </c>
      <c r="AZ171" s="7">
        <v>292</v>
      </c>
      <c r="BA171" s="62"/>
      <c r="BB171" s="7" t="s">
        <v>606</v>
      </c>
      <c r="BC171" s="7" t="s">
        <v>1496</v>
      </c>
      <c r="BD171" s="7" t="s">
        <v>611</v>
      </c>
      <c r="BE171" s="7" t="s">
        <v>618</v>
      </c>
      <c r="BF171" s="39">
        <v>1</v>
      </c>
      <c r="BG171" s="60">
        <v>1.1000000000000001</v>
      </c>
      <c r="BH171" s="169">
        <v>292.2</v>
      </c>
      <c r="BI171" s="7">
        <v>7.24</v>
      </c>
      <c r="BJ171" s="32"/>
      <c r="BK171" s="256"/>
    </row>
    <row r="172" spans="1:63" ht="23.25" customHeight="1" thickBot="1" x14ac:dyDescent="0.25">
      <c r="A172" s="62">
        <v>171</v>
      </c>
      <c r="B172" s="221"/>
      <c r="C172" s="221"/>
      <c r="D172" s="54" t="s">
        <v>49</v>
      </c>
      <c r="E172" s="54">
        <v>5</v>
      </c>
      <c r="F172" s="16">
        <v>76.928569999999993</v>
      </c>
      <c r="G172" s="8">
        <v>7.8571429999999998</v>
      </c>
      <c r="H172" s="8">
        <v>0</v>
      </c>
      <c r="I172" s="8">
        <v>0</v>
      </c>
      <c r="J172" s="8">
        <v>8.0714290000000002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17">
        <v>0</v>
      </c>
      <c r="T172" s="8">
        <v>7.1428570000000002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14">
        <f t="shared" si="17"/>
        <v>99.999998999999988</v>
      </c>
      <c r="AE172" s="8">
        <v>0</v>
      </c>
      <c r="AF172" s="8">
        <v>0</v>
      </c>
      <c r="AG172" s="8">
        <v>0</v>
      </c>
      <c r="AH172" s="8">
        <v>0</v>
      </c>
      <c r="AJ172" s="7"/>
      <c r="AK172" s="62"/>
      <c r="AL172" s="158">
        <v>87.9</v>
      </c>
      <c r="AM172" s="85">
        <v>6.5</v>
      </c>
      <c r="AN172" s="85">
        <v>4.5</v>
      </c>
      <c r="AO172" s="85"/>
      <c r="AP172" s="85"/>
      <c r="AQ172" s="85"/>
      <c r="AR172" s="85">
        <v>0.8</v>
      </c>
      <c r="AS172" s="85">
        <v>0.3</v>
      </c>
      <c r="AT172" s="205"/>
      <c r="AU172" s="85">
        <v>0</v>
      </c>
      <c r="AV172" s="196">
        <f t="shared" si="19"/>
        <v>100</v>
      </c>
      <c r="AW172" s="85"/>
      <c r="AX172" s="85">
        <v>11.523</v>
      </c>
      <c r="AY172" s="39">
        <v>0.01</v>
      </c>
      <c r="AZ172" s="7">
        <v>311</v>
      </c>
      <c r="BA172" s="62"/>
      <c r="BB172" s="7" t="s">
        <v>606</v>
      </c>
      <c r="BC172" s="7" t="s">
        <v>1497</v>
      </c>
      <c r="BD172" s="7" t="s">
        <v>610</v>
      </c>
      <c r="BE172" s="7" t="s">
        <v>619</v>
      </c>
      <c r="BF172" s="39"/>
      <c r="BG172" s="7"/>
      <c r="BH172" s="62"/>
      <c r="BI172" s="7">
        <v>7.21</v>
      </c>
      <c r="BJ172" s="32"/>
      <c r="BK172" s="256"/>
    </row>
    <row r="173" spans="1:63" ht="23.25" customHeight="1" thickBot="1" x14ac:dyDescent="0.25">
      <c r="A173" s="7">
        <v>172</v>
      </c>
      <c r="B173" s="221"/>
      <c r="C173" s="221"/>
      <c r="D173" s="54" t="s">
        <v>50</v>
      </c>
      <c r="E173" s="54">
        <v>6</v>
      </c>
      <c r="F173" s="16">
        <v>75.785709999999995</v>
      </c>
      <c r="G173" s="8">
        <v>7.8571429999999998</v>
      </c>
      <c r="H173" s="8">
        <v>0</v>
      </c>
      <c r="I173" s="8">
        <v>0</v>
      </c>
      <c r="J173" s="8">
        <v>9.2142859999999995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17">
        <v>0</v>
      </c>
      <c r="T173" s="8">
        <v>7.1428570000000002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14">
        <f t="shared" si="17"/>
        <v>99.999995999999996</v>
      </c>
      <c r="AE173" s="8">
        <v>0</v>
      </c>
      <c r="AF173" s="8">
        <v>0</v>
      </c>
      <c r="AG173" s="8">
        <v>0</v>
      </c>
      <c r="AH173" s="8">
        <v>0</v>
      </c>
      <c r="AJ173" s="7"/>
      <c r="AK173" s="62"/>
      <c r="AL173" s="158">
        <v>87.3</v>
      </c>
      <c r="AM173" s="85">
        <v>6.8</v>
      </c>
      <c r="AN173" s="85">
        <v>4.8</v>
      </c>
      <c r="AO173" s="85"/>
      <c r="AP173" s="85"/>
      <c r="AQ173" s="85"/>
      <c r="AR173" s="85">
        <v>1.1000000000000001</v>
      </c>
      <c r="AS173" s="85"/>
      <c r="AT173" s="205"/>
      <c r="AU173" s="85">
        <v>0</v>
      </c>
      <c r="AV173" s="196">
        <f t="shared" si="19"/>
        <v>99.999999999999986</v>
      </c>
      <c r="AW173" s="85"/>
      <c r="AX173" s="85">
        <v>11.541</v>
      </c>
      <c r="AY173" s="39">
        <v>0.01</v>
      </c>
      <c r="AZ173" s="7">
        <v>327</v>
      </c>
      <c r="BA173" s="62"/>
      <c r="BB173" s="7" t="s">
        <v>606</v>
      </c>
      <c r="BC173" s="7" t="s">
        <v>1498</v>
      </c>
      <c r="BD173" s="7" t="s">
        <v>609</v>
      </c>
      <c r="BE173" s="7" t="s">
        <v>620</v>
      </c>
      <c r="BF173" s="39"/>
      <c r="BG173" s="7"/>
      <c r="BH173" s="62"/>
      <c r="BI173" s="7">
        <v>7.2</v>
      </c>
      <c r="BJ173" s="32"/>
      <c r="BK173" s="256"/>
    </row>
    <row r="174" spans="1:63" s="6" customFormat="1" ht="23.25" customHeight="1" thickBot="1" x14ac:dyDescent="0.25">
      <c r="A174" s="62">
        <v>173</v>
      </c>
      <c r="B174" s="222"/>
      <c r="C174" s="222"/>
      <c r="D174" s="13" t="s">
        <v>51</v>
      </c>
      <c r="E174" s="13">
        <v>7</v>
      </c>
      <c r="F174" s="80">
        <v>74.642859999999999</v>
      </c>
      <c r="G174" s="81">
        <v>7.8571429999999998</v>
      </c>
      <c r="H174" s="81">
        <v>0</v>
      </c>
      <c r="I174" s="81">
        <v>0</v>
      </c>
      <c r="J174" s="81">
        <v>10.357139999999999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>
        <v>0</v>
      </c>
      <c r="T174" s="81">
        <v>7.1428570000000002</v>
      </c>
      <c r="U174" s="81">
        <v>0</v>
      </c>
      <c r="V174" s="81">
        <v>0</v>
      </c>
      <c r="W174" s="81">
        <v>0</v>
      </c>
      <c r="X174" s="81">
        <v>0</v>
      </c>
      <c r="Y174" s="81">
        <v>0</v>
      </c>
      <c r="Z174" s="81">
        <v>0</v>
      </c>
      <c r="AA174" s="81">
        <v>0</v>
      </c>
      <c r="AB174" s="81">
        <v>0</v>
      </c>
      <c r="AC174" s="81">
        <v>0</v>
      </c>
      <c r="AD174" s="83">
        <f t="shared" si="17"/>
        <v>100</v>
      </c>
      <c r="AE174" s="81">
        <v>0</v>
      </c>
      <c r="AF174" s="81">
        <v>0</v>
      </c>
      <c r="AG174" s="81">
        <v>0</v>
      </c>
      <c r="AH174" s="81">
        <v>0</v>
      </c>
      <c r="AI174" s="79"/>
      <c r="AJ174" s="65"/>
      <c r="AK174" s="78"/>
      <c r="AL174" s="200">
        <v>85.9</v>
      </c>
      <c r="AM174" s="190">
        <v>8.8000000000000007</v>
      </c>
      <c r="AN174" s="190">
        <v>3.9</v>
      </c>
      <c r="AO174" s="190"/>
      <c r="AP174" s="190"/>
      <c r="AQ174" s="190"/>
      <c r="AR174" s="190">
        <v>1.4</v>
      </c>
      <c r="AS174" s="190"/>
      <c r="AT174" s="201"/>
      <c r="AU174" s="190">
        <v>0</v>
      </c>
      <c r="AV174" s="202">
        <f t="shared" si="19"/>
        <v>100.00000000000001</v>
      </c>
      <c r="AW174" s="190"/>
      <c r="AX174" s="190">
        <v>11.555999999999999</v>
      </c>
      <c r="AY174" s="79">
        <v>0.01</v>
      </c>
      <c r="AZ174" s="65">
        <v>345</v>
      </c>
      <c r="BA174" s="78"/>
      <c r="BB174" s="65" t="s">
        <v>606</v>
      </c>
      <c r="BC174" s="65" t="s">
        <v>1499</v>
      </c>
      <c r="BD174" s="65" t="s">
        <v>608</v>
      </c>
      <c r="BE174" s="65" t="s">
        <v>621</v>
      </c>
      <c r="BF174" s="79"/>
      <c r="BG174" s="65"/>
      <c r="BH174" s="78"/>
      <c r="BI174" s="65">
        <v>7.21</v>
      </c>
      <c r="BJ174" s="68"/>
      <c r="BK174" s="256"/>
    </row>
    <row r="175" spans="1:63" ht="23.25" customHeight="1" thickBot="1" x14ac:dyDescent="0.25">
      <c r="A175" s="7">
        <v>174</v>
      </c>
      <c r="B175" s="32">
        <v>42</v>
      </c>
      <c r="C175" s="32" t="s">
        <v>1567</v>
      </c>
      <c r="D175" s="54" t="s">
        <v>316</v>
      </c>
      <c r="E175" s="54" t="s">
        <v>315</v>
      </c>
      <c r="F175" s="16">
        <v>82.828569999999999</v>
      </c>
      <c r="G175" s="8">
        <v>10.02857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17">
        <v>0</v>
      </c>
      <c r="T175" s="8">
        <v>7.1428570000000002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14">
        <f t="shared" ref="AD175:AD216" si="20">SUM(F175:AC175)</f>
        <v>99.999997000000008</v>
      </c>
      <c r="AE175" s="8">
        <v>0</v>
      </c>
      <c r="AF175" s="8">
        <v>0</v>
      </c>
      <c r="AG175" s="8">
        <v>0</v>
      </c>
      <c r="AH175" s="8">
        <v>0</v>
      </c>
      <c r="AJ175" s="7"/>
      <c r="AK175" s="62"/>
      <c r="AL175" s="158"/>
      <c r="AM175" s="85"/>
      <c r="AN175" s="85"/>
      <c r="AO175" s="85"/>
      <c r="AP175" s="85"/>
      <c r="AQ175" s="85"/>
      <c r="AR175" s="85"/>
      <c r="AS175" s="85"/>
      <c r="AT175" s="205"/>
      <c r="AU175" s="85"/>
      <c r="AV175" s="196"/>
      <c r="AW175" s="85">
        <v>11.46</v>
      </c>
      <c r="AX175" s="85"/>
      <c r="AY175" s="39"/>
      <c r="AZ175" s="7"/>
      <c r="BA175" s="62"/>
      <c r="BB175" s="7"/>
      <c r="BC175" s="7"/>
      <c r="BD175" s="7"/>
      <c r="BE175" s="7"/>
      <c r="BF175" s="39"/>
      <c r="BG175" s="7"/>
      <c r="BH175" s="62"/>
      <c r="BI175" s="7"/>
      <c r="BJ175" s="32"/>
      <c r="BK175" s="54"/>
    </row>
    <row r="176" spans="1:63" s="4" customFormat="1" ht="23.25" customHeight="1" thickBot="1" x14ac:dyDescent="0.25">
      <c r="A176" s="62">
        <v>175</v>
      </c>
      <c r="B176" s="238">
        <v>44</v>
      </c>
      <c r="C176" s="238" t="s">
        <v>1827</v>
      </c>
      <c r="D176" s="12" t="s">
        <v>317</v>
      </c>
      <c r="E176" s="12"/>
      <c r="F176" s="87">
        <v>82.857140000000001</v>
      </c>
      <c r="G176" s="88">
        <v>10</v>
      </c>
      <c r="H176" s="88">
        <v>0</v>
      </c>
      <c r="I176" s="88">
        <v>0</v>
      </c>
      <c r="J176" s="88">
        <v>0</v>
      </c>
      <c r="K176" s="88">
        <v>0</v>
      </c>
      <c r="L176" s="88">
        <v>0</v>
      </c>
      <c r="M176" s="88">
        <v>0</v>
      </c>
      <c r="N176" s="88">
        <v>0</v>
      </c>
      <c r="O176" s="88">
        <v>0</v>
      </c>
      <c r="P176" s="88">
        <v>0</v>
      </c>
      <c r="Q176" s="88">
        <v>0</v>
      </c>
      <c r="R176" s="88">
        <v>0</v>
      </c>
      <c r="S176" s="89">
        <v>0</v>
      </c>
      <c r="T176" s="88">
        <v>7.1428570000000002</v>
      </c>
      <c r="U176" s="88">
        <v>0</v>
      </c>
      <c r="V176" s="88">
        <v>0</v>
      </c>
      <c r="W176" s="88">
        <v>0</v>
      </c>
      <c r="X176" s="88">
        <v>0</v>
      </c>
      <c r="Y176" s="88">
        <v>0</v>
      </c>
      <c r="Z176" s="88">
        <v>0</v>
      </c>
      <c r="AA176" s="88">
        <v>0</v>
      </c>
      <c r="AB176" s="88">
        <v>0</v>
      </c>
      <c r="AC176" s="88">
        <v>0</v>
      </c>
      <c r="AD176" s="90">
        <f t="shared" si="20"/>
        <v>99.999997000000008</v>
      </c>
      <c r="AE176" s="88">
        <v>0</v>
      </c>
      <c r="AF176" s="88">
        <v>0</v>
      </c>
      <c r="AG176" s="88">
        <v>0</v>
      </c>
      <c r="AH176" s="88">
        <v>0</v>
      </c>
      <c r="AI176" s="156"/>
      <c r="AJ176" s="45"/>
      <c r="AK176" s="91"/>
      <c r="AL176" s="197"/>
      <c r="AM176" s="189"/>
      <c r="AN176" s="189"/>
      <c r="AO176" s="189"/>
      <c r="AP176" s="189"/>
      <c r="AQ176" s="189"/>
      <c r="AR176" s="189"/>
      <c r="AS176" s="189"/>
      <c r="AT176" s="198"/>
      <c r="AU176" s="189"/>
      <c r="AV176" s="199"/>
      <c r="AW176" s="189"/>
      <c r="AX176" s="189"/>
      <c r="AY176" s="156"/>
      <c r="AZ176" s="45">
        <v>197</v>
      </c>
      <c r="BA176" s="91"/>
      <c r="BB176" s="45">
        <v>2</v>
      </c>
      <c r="BC176" s="45">
        <v>18.399999999999999</v>
      </c>
      <c r="BD176" s="45"/>
      <c r="BE176" s="45"/>
      <c r="BF176" s="156"/>
      <c r="BG176" s="45"/>
      <c r="BH176" s="91"/>
      <c r="BI176" s="45">
        <v>7</v>
      </c>
      <c r="BJ176" s="67"/>
      <c r="BK176" s="260"/>
    </row>
    <row r="177" spans="1:63" s="6" customFormat="1" ht="23.25" customHeight="1" thickBot="1" x14ac:dyDescent="0.25">
      <c r="A177" s="7">
        <v>176</v>
      </c>
      <c r="B177" s="222"/>
      <c r="C177" s="222"/>
      <c r="D177" s="13" t="s">
        <v>52</v>
      </c>
      <c r="E177" s="13"/>
      <c r="F177" s="80">
        <v>82.857140000000001</v>
      </c>
      <c r="G177" s="81">
        <v>10</v>
      </c>
      <c r="H177" s="81">
        <v>0</v>
      </c>
      <c r="I177" s="81">
        <v>0</v>
      </c>
      <c r="J177" s="81">
        <v>0</v>
      </c>
      <c r="K177" s="81">
        <v>0</v>
      </c>
      <c r="L177" s="81">
        <v>0</v>
      </c>
      <c r="M177" s="81">
        <v>0</v>
      </c>
      <c r="N177" s="81">
        <v>0</v>
      </c>
      <c r="O177" s="81">
        <v>0</v>
      </c>
      <c r="P177" s="81">
        <v>0</v>
      </c>
      <c r="Q177" s="81">
        <v>0</v>
      </c>
      <c r="R177" s="81">
        <v>0</v>
      </c>
      <c r="S177" s="82">
        <v>0</v>
      </c>
      <c r="T177" s="81">
        <v>7.1428570000000002</v>
      </c>
      <c r="U177" s="81">
        <v>0</v>
      </c>
      <c r="V177" s="81">
        <v>0</v>
      </c>
      <c r="W177" s="81">
        <v>0</v>
      </c>
      <c r="X177" s="81">
        <v>0</v>
      </c>
      <c r="Y177" s="81">
        <v>0</v>
      </c>
      <c r="Z177" s="81">
        <v>0</v>
      </c>
      <c r="AA177" s="81">
        <v>0</v>
      </c>
      <c r="AB177" s="81">
        <v>0</v>
      </c>
      <c r="AC177" s="81">
        <v>0</v>
      </c>
      <c r="AD177" s="83">
        <f t="shared" si="20"/>
        <v>99.999997000000008</v>
      </c>
      <c r="AE177" s="81">
        <f>1.8*100/14</f>
        <v>12.857142857142858</v>
      </c>
      <c r="AF177" s="81">
        <v>0</v>
      </c>
      <c r="AG177" s="81">
        <v>0</v>
      </c>
      <c r="AH177" s="81">
        <v>0</v>
      </c>
      <c r="AI177" s="79" t="s">
        <v>1531</v>
      </c>
      <c r="AJ177" s="65">
        <v>168</v>
      </c>
      <c r="AK177" s="78">
        <v>1323</v>
      </c>
      <c r="AL177" s="200"/>
      <c r="AM177" s="190"/>
      <c r="AN177" s="190"/>
      <c r="AO177" s="190"/>
      <c r="AP177" s="190"/>
      <c r="AQ177" s="190"/>
      <c r="AR177" s="190"/>
      <c r="AS177" s="190"/>
      <c r="AT177" s="201"/>
      <c r="AU177" s="190"/>
      <c r="AV177" s="202"/>
      <c r="AW177" s="190"/>
      <c r="AX177" s="190"/>
      <c r="AY177" s="79"/>
      <c r="AZ177" s="65">
        <v>330</v>
      </c>
      <c r="BA177" s="78"/>
      <c r="BB177" s="65">
        <v>2</v>
      </c>
      <c r="BC177" s="65">
        <v>10.3</v>
      </c>
      <c r="BD177" s="65">
        <v>329.4</v>
      </c>
      <c r="BE177" s="65">
        <v>12.2</v>
      </c>
      <c r="BF177" s="79"/>
      <c r="BG177" s="65"/>
      <c r="BH177" s="78"/>
      <c r="BI177" s="65">
        <v>5.3</v>
      </c>
      <c r="BJ177" s="68"/>
      <c r="BK177" s="260"/>
    </row>
    <row r="178" spans="1:63" ht="23.25" customHeight="1" thickBot="1" x14ac:dyDescent="0.25">
      <c r="A178" s="62">
        <v>177</v>
      </c>
      <c r="B178" s="238">
        <v>51</v>
      </c>
      <c r="C178" s="221" t="s">
        <v>1566</v>
      </c>
      <c r="D178" s="54" t="s">
        <v>53</v>
      </c>
      <c r="E178" s="54"/>
      <c r="F178" s="16">
        <f>11.22/14*100</f>
        <v>80.142857142857153</v>
      </c>
      <c r="G178" s="8">
        <f>1.32/14*100</f>
        <v>9.4285714285714288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f>0.46/14*100</f>
        <v>3.2857142857142856</v>
      </c>
      <c r="Q178" s="8">
        <v>0</v>
      </c>
      <c r="R178" s="8">
        <v>0</v>
      </c>
      <c r="S178" s="17">
        <v>0</v>
      </c>
      <c r="T178" s="8">
        <v>7.1428571428571432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14">
        <f t="shared" si="20"/>
        <v>100.00000000000001</v>
      </c>
      <c r="AE178" s="8">
        <f>1.65/14*100</f>
        <v>11.785714285714285</v>
      </c>
      <c r="AF178" s="8">
        <v>0</v>
      </c>
      <c r="AG178" s="8">
        <v>0</v>
      </c>
      <c r="AH178" s="8">
        <v>0</v>
      </c>
      <c r="AI178" s="63" t="s">
        <v>1531</v>
      </c>
      <c r="AJ178" s="7"/>
      <c r="AK178" s="93">
        <v>1323</v>
      </c>
      <c r="AL178" s="158"/>
      <c r="AM178" s="85"/>
      <c r="AN178" s="85"/>
      <c r="AO178" s="85"/>
      <c r="AP178" s="85"/>
      <c r="AQ178" s="85"/>
      <c r="AR178" s="85"/>
      <c r="AS178" s="85"/>
      <c r="AT178" s="205"/>
      <c r="AU178" s="85"/>
      <c r="AV178" s="196"/>
      <c r="AW178" s="85"/>
      <c r="AX178" s="85"/>
      <c r="AY178" s="39"/>
      <c r="AZ178" s="85">
        <v>269.7</v>
      </c>
      <c r="BA178" s="62">
        <v>0</v>
      </c>
      <c r="BB178" s="7" t="s">
        <v>625</v>
      </c>
      <c r="BC178" s="7" t="s">
        <v>633</v>
      </c>
      <c r="BD178" s="7" t="s">
        <v>634</v>
      </c>
      <c r="BE178" s="7" t="s">
        <v>642</v>
      </c>
      <c r="BF178" s="39">
        <v>1.5</v>
      </c>
      <c r="BG178" s="7">
        <v>3.8</v>
      </c>
      <c r="BH178" s="62"/>
      <c r="BI178" s="7"/>
      <c r="BJ178" s="32"/>
      <c r="BK178" s="256" t="s">
        <v>1745</v>
      </c>
    </row>
    <row r="179" spans="1:63" ht="23.25" customHeight="1" thickBot="1" x14ac:dyDescent="0.25">
      <c r="A179" s="7">
        <v>178</v>
      </c>
      <c r="B179" s="221"/>
      <c r="C179" s="221"/>
      <c r="D179" s="54" t="s">
        <v>54</v>
      </c>
      <c r="E179" s="54" t="s">
        <v>1271</v>
      </c>
      <c r="F179" s="16">
        <f>11.33/14*100</f>
        <v>80.928571428571431</v>
      </c>
      <c r="G179" s="8">
        <f>1.3/14*100</f>
        <v>9.2857142857142865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f>0.37/14*100</f>
        <v>2.6428571428571428</v>
      </c>
      <c r="Q179" s="8">
        <v>0</v>
      </c>
      <c r="R179" s="8">
        <v>0</v>
      </c>
      <c r="S179" s="17">
        <v>0</v>
      </c>
      <c r="T179" s="8">
        <v>7.1428571428571432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14">
        <f t="shared" si="20"/>
        <v>100</v>
      </c>
      <c r="AE179" s="8">
        <f>1.65/14*100</f>
        <v>11.785714285714285</v>
      </c>
      <c r="AF179" s="8">
        <v>0</v>
      </c>
      <c r="AG179" s="8">
        <v>0</v>
      </c>
      <c r="AH179" s="8">
        <v>0</v>
      </c>
      <c r="AI179" s="63" t="s">
        <v>1531</v>
      </c>
      <c r="AJ179" s="7"/>
      <c r="AK179" s="93">
        <v>1323</v>
      </c>
      <c r="AL179" s="158"/>
      <c r="AM179" s="85"/>
      <c r="AN179" s="85"/>
      <c r="AO179" s="85"/>
      <c r="AP179" s="85"/>
      <c r="AQ179" s="85"/>
      <c r="AR179" s="85"/>
      <c r="AS179" s="85"/>
      <c r="AT179" s="205"/>
      <c r="AU179" s="85"/>
      <c r="AV179" s="196"/>
      <c r="AW179" s="85"/>
      <c r="AX179" s="85"/>
      <c r="AY179" s="39"/>
      <c r="AZ179" s="7">
        <v>285.39999999999998</v>
      </c>
      <c r="BA179" s="62">
        <v>0.2</v>
      </c>
      <c r="BB179" s="7" t="s">
        <v>625</v>
      </c>
      <c r="BC179" s="7" t="s">
        <v>632</v>
      </c>
      <c r="BD179" s="7" t="s">
        <v>635</v>
      </c>
      <c r="BE179" s="7" t="s">
        <v>643</v>
      </c>
      <c r="BF179" s="39">
        <v>1.5</v>
      </c>
      <c r="BG179" s="7">
        <v>4.4000000000000004</v>
      </c>
      <c r="BH179" s="62"/>
      <c r="BI179" s="7"/>
      <c r="BJ179" s="32"/>
      <c r="BK179" s="256"/>
    </row>
    <row r="180" spans="1:63" ht="23.25" customHeight="1" thickBot="1" x14ac:dyDescent="0.25">
      <c r="A180" s="62">
        <v>179</v>
      </c>
      <c r="B180" s="221"/>
      <c r="C180" s="221"/>
      <c r="D180" s="54" t="s">
        <v>55</v>
      </c>
      <c r="E180" s="54"/>
      <c r="F180" s="16">
        <f>11.41/14*100</f>
        <v>81.5</v>
      </c>
      <c r="G180" s="8">
        <f>1.29/14*100</f>
        <v>9.2142857142857153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f>0.3/14*100</f>
        <v>2.1428571428571428</v>
      </c>
      <c r="Q180" s="8">
        <v>0</v>
      </c>
      <c r="R180" s="8">
        <v>0</v>
      </c>
      <c r="S180" s="17">
        <v>0</v>
      </c>
      <c r="T180" s="8">
        <v>7.1428571428571432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14">
        <f t="shared" si="20"/>
        <v>100</v>
      </c>
      <c r="AE180" s="8">
        <f t="shared" ref="AE180:AE185" si="21">1.65/14*100</f>
        <v>11.785714285714285</v>
      </c>
      <c r="AF180" s="8">
        <v>0</v>
      </c>
      <c r="AG180" s="8">
        <v>0</v>
      </c>
      <c r="AH180" s="8">
        <v>0</v>
      </c>
      <c r="AI180" s="63" t="s">
        <v>1531</v>
      </c>
      <c r="AJ180" s="7"/>
      <c r="AK180" s="93">
        <v>1323</v>
      </c>
      <c r="AL180" s="158"/>
      <c r="AM180" s="85"/>
      <c r="AN180" s="85"/>
      <c r="AO180" s="85"/>
      <c r="AP180" s="85"/>
      <c r="AQ180" s="85"/>
      <c r="AR180" s="85"/>
      <c r="AS180" s="85"/>
      <c r="AT180" s="205"/>
      <c r="AU180" s="85"/>
      <c r="AV180" s="196"/>
      <c r="AW180" s="85"/>
      <c r="AX180" s="85"/>
      <c r="AY180" s="39"/>
      <c r="AZ180" s="7">
        <v>296.60000000000002</v>
      </c>
      <c r="BA180" s="62">
        <v>0.4</v>
      </c>
      <c r="BB180" s="7" t="s">
        <v>625</v>
      </c>
      <c r="BC180" s="7" t="s">
        <v>631</v>
      </c>
      <c r="BD180" s="7" t="s">
        <v>636</v>
      </c>
      <c r="BE180" s="7" t="s">
        <v>644</v>
      </c>
      <c r="BF180" s="39">
        <v>1.5</v>
      </c>
      <c r="BG180" s="7">
        <v>4.4000000000000004</v>
      </c>
      <c r="BH180" s="62"/>
      <c r="BI180" s="7"/>
      <c r="BJ180" s="32"/>
      <c r="BK180" s="256"/>
    </row>
    <row r="181" spans="1:63" ht="23.25" customHeight="1" thickBot="1" x14ac:dyDescent="0.25">
      <c r="A181" s="7">
        <v>180</v>
      </c>
      <c r="B181" s="221"/>
      <c r="C181" s="221"/>
      <c r="D181" s="54" t="s">
        <v>56</v>
      </c>
      <c r="E181" s="54"/>
      <c r="F181" s="16">
        <f>11.47/14*100</f>
        <v>81.928571428571431</v>
      </c>
      <c r="G181" s="8">
        <f>1.28/14*100</f>
        <v>9.1428571428571423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f>0.25/14*100</f>
        <v>1.7857142857142856</v>
      </c>
      <c r="Q181" s="8">
        <v>0</v>
      </c>
      <c r="R181" s="8">
        <v>0</v>
      </c>
      <c r="S181" s="17">
        <v>0</v>
      </c>
      <c r="T181" s="8">
        <v>7.1428571428571432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14">
        <f t="shared" si="20"/>
        <v>100</v>
      </c>
      <c r="AE181" s="8">
        <f t="shared" si="21"/>
        <v>11.785714285714285</v>
      </c>
      <c r="AF181" s="8">
        <v>0</v>
      </c>
      <c r="AG181" s="8">
        <v>0</v>
      </c>
      <c r="AH181" s="8">
        <v>0</v>
      </c>
      <c r="AI181" s="63" t="s">
        <v>1531</v>
      </c>
      <c r="AJ181" s="7"/>
      <c r="AK181" s="93">
        <v>1323</v>
      </c>
      <c r="AL181" s="158"/>
      <c r="AM181" s="85"/>
      <c r="AN181" s="85"/>
      <c r="AO181" s="85"/>
      <c r="AP181" s="85"/>
      <c r="AQ181" s="85"/>
      <c r="AR181" s="85"/>
      <c r="AS181" s="85"/>
      <c r="AT181" s="205"/>
      <c r="AU181" s="85"/>
      <c r="AV181" s="196"/>
      <c r="AW181" s="85"/>
      <c r="AX181" s="85"/>
      <c r="AY181" s="39"/>
      <c r="AZ181" s="7">
        <v>303.89999999999998</v>
      </c>
      <c r="BA181" s="62">
        <v>0.5</v>
      </c>
      <c r="BB181" s="7" t="s">
        <v>624</v>
      </c>
      <c r="BC181" s="7" t="s">
        <v>630</v>
      </c>
      <c r="BD181" s="7" t="s">
        <v>637</v>
      </c>
      <c r="BE181" s="7" t="s">
        <v>1901</v>
      </c>
      <c r="BF181" s="39">
        <v>1.5</v>
      </c>
      <c r="BG181" s="7">
        <v>4.4000000000000004</v>
      </c>
      <c r="BH181" s="62"/>
      <c r="BI181" s="7"/>
      <c r="BJ181" s="32"/>
      <c r="BK181" s="256"/>
    </row>
    <row r="182" spans="1:63" ht="23.25" customHeight="1" thickBot="1" x14ac:dyDescent="0.25">
      <c r="A182" s="62">
        <v>181</v>
      </c>
      <c r="B182" s="221"/>
      <c r="C182" s="221"/>
      <c r="D182" s="54" t="s">
        <v>57</v>
      </c>
      <c r="E182" s="54"/>
      <c r="F182" s="16">
        <f>11.55/14*100</f>
        <v>82.5</v>
      </c>
      <c r="G182" s="8">
        <f>1.23/14*100</f>
        <v>8.7857142857142847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f>0.22/14*100</f>
        <v>1.5714285714285716</v>
      </c>
      <c r="Q182" s="8">
        <v>0</v>
      </c>
      <c r="R182" s="8">
        <v>0</v>
      </c>
      <c r="S182" s="17">
        <v>0</v>
      </c>
      <c r="T182" s="8">
        <v>7.1428571428571432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14">
        <f t="shared" si="20"/>
        <v>99.999999999999986</v>
      </c>
      <c r="AE182" s="8">
        <f t="shared" si="21"/>
        <v>11.785714285714285</v>
      </c>
      <c r="AF182" s="8">
        <v>0</v>
      </c>
      <c r="AG182" s="8">
        <v>0</v>
      </c>
      <c r="AH182" s="8">
        <v>0</v>
      </c>
      <c r="AI182" s="63" t="s">
        <v>1531</v>
      </c>
      <c r="AJ182" s="7"/>
      <c r="AK182" s="93">
        <v>1323</v>
      </c>
      <c r="AL182" s="158"/>
      <c r="AM182" s="85"/>
      <c r="AN182" s="85"/>
      <c r="AO182" s="85"/>
      <c r="AP182" s="85"/>
      <c r="AQ182" s="85"/>
      <c r="AR182" s="85"/>
      <c r="AS182" s="85"/>
      <c r="AT182" s="205"/>
      <c r="AU182" s="85"/>
      <c r="AV182" s="196"/>
      <c r="AW182" s="85"/>
      <c r="AX182" s="85"/>
      <c r="AY182" s="39"/>
      <c r="AZ182" s="7">
        <v>313.7</v>
      </c>
      <c r="BA182" s="62">
        <v>0.7</v>
      </c>
      <c r="BB182" s="7" t="s">
        <v>624</v>
      </c>
      <c r="BC182" s="7" t="s">
        <v>629</v>
      </c>
      <c r="BD182" s="7" t="s">
        <v>638</v>
      </c>
      <c r="BE182" s="7" t="s">
        <v>645</v>
      </c>
      <c r="BF182" s="39">
        <v>1.5</v>
      </c>
      <c r="BG182" s="7">
        <v>4.4000000000000004</v>
      </c>
      <c r="BH182" s="62"/>
      <c r="BI182" s="7"/>
      <c r="BJ182" s="32"/>
      <c r="BK182" s="256"/>
    </row>
    <row r="183" spans="1:63" ht="23.25" customHeight="1" thickBot="1" x14ac:dyDescent="0.25">
      <c r="A183" s="7">
        <v>182</v>
      </c>
      <c r="B183" s="221"/>
      <c r="C183" s="221"/>
      <c r="D183" s="54" t="s">
        <v>58</v>
      </c>
      <c r="E183" s="54"/>
      <c r="F183" s="16">
        <f>11.6/14*100</f>
        <v>82.857142857142847</v>
      </c>
      <c r="G183" s="8">
        <f>1.22/14*100</f>
        <v>8.7142857142857153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f>0.18/14*100</f>
        <v>1.2857142857142856</v>
      </c>
      <c r="Q183" s="8">
        <v>0</v>
      </c>
      <c r="R183" s="8">
        <v>0</v>
      </c>
      <c r="S183" s="17">
        <v>0</v>
      </c>
      <c r="T183" s="8">
        <v>7.1428571428571432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14">
        <f t="shared" si="20"/>
        <v>99.999999999999986</v>
      </c>
      <c r="AE183" s="8">
        <f t="shared" si="21"/>
        <v>11.785714285714285</v>
      </c>
      <c r="AF183" s="8">
        <v>0</v>
      </c>
      <c r="AG183" s="8">
        <v>0</v>
      </c>
      <c r="AH183" s="8">
        <v>0</v>
      </c>
      <c r="AI183" s="63" t="s">
        <v>1531</v>
      </c>
      <c r="AJ183" s="7"/>
      <c r="AK183" s="93">
        <v>1323</v>
      </c>
      <c r="AL183" s="158"/>
      <c r="AM183" s="85"/>
      <c r="AN183" s="85"/>
      <c r="AO183" s="85"/>
      <c r="AP183" s="85"/>
      <c r="AQ183" s="85"/>
      <c r="AR183" s="85"/>
      <c r="AS183" s="85"/>
      <c r="AT183" s="205"/>
      <c r="AU183" s="85"/>
      <c r="AV183" s="196"/>
      <c r="AW183" s="85"/>
      <c r="AX183" s="85"/>
      <c r="AY183" s="39"/>
      <c r="AZ183" s="7">
        <v>320.60000000000002</v>
      </c>
      <c r="BA183" s="62">
        <v>0.9</v>
      </c>
      <c r="BB183" s="7" t="s">
        <v>624</v>
      </c>
      <c r="BC183" s="7" t="s">
        <v>628</v>
      </c>
      <c r="BD183" s="7" t="s">
        <v>639</v>
      </c>
      <c r="BE183" s="85" t="s">
        <v>1900</v>
      </c>
      <c r="BF183" s="39">
        <v>1.5</v>
      </c>
      <c r="BG183" s="7">
        <v>4.2</v>
      </c>
      <c r="BH183" s="62"/>
      <c r="BI183" s="7"/>
      <c r="BJ183" s="32"/>
      <c r="BK183" s="256"/>
    </row>
    <row r="184" spans="1:63" ht="23.25" customHeight="1" thickBot="1" x14ac:dyDescent="0.25">
      <c r="A184" s="62">
        <v>183</v>
      </c>
      <c r="B184" s="221"/>
      <c r="C184" s="221"/>
      <c r="D184" s="54" t="s">
        <v>59</v>
      </c>
      <c r="E184" s="54"/>
      <c r="F184" s="16">
        <f>11.66/14*100</f>
        <v>83.285714285714292</v>
      </c>
      <c r="G184" s="8">
        <f>1.2/14*100</f>
        <v>8.5714285714285712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f>0.14/14*100</f>
        <v>1</v>
      </c>
      <c r="Q184" s="8">
        <v>0</v>
      </c>
      <c r="R184" s="8">
        <v>0</v>
      </c>
      <c r="S184" s="17">
        <v>0</v>
      </c>
      <c r="T184" s="8">
        <v>7.1428571428571432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14">
        <f t="shared" si="20"/>
        <v>100</v>
      </c>
      <c r="AE184" s="8">
        <f t="shared" si="21"/>
        <v>11.785714285714285</v>
      </c>
      <c r="AF184" s="8">
        <v>0</v>
      </c>
      <c r="AG184" s="8">
        <v>0</v>
      </c>
      <c r="AH184" s="8">
        <v>0</v>
      </c>
      <c r="AI184" s="63" t="s">
        <v>1531</v>
      </c>
      <c r="AJ184" s="7"/>
      <c r="AK184" s="93">
        <v>1323</v>
      </c>
      <c r="AL184" s="158"/>
      <c r="AM184" s="85"/>
      <c r="AN184" s="85"/>
      <c r="AO184" s="85"/>
      <c r="AP184" s="85"/>
      <c r="AQ184" s="85"/>
      <c r="AR184" s="85"/>
      <c r="AS184" s="85"/>
      <c r="AT184" s="205"/>
      <c r="AU184" s="85"/>
      <c r="AV184" s="196"/>
      <c r="AW184" s="85"/>
      <c r="AX184" s="85"/>
      <c r="AY184" s="39"/>
      <c r="AZ184" s="7">
        <v>327.5</v>
      </c>
      <c r="BA184" s="62">
        <v>1.2</v>
      </c>
      <c r="BB184" s="7" t="s">
        <v>624</v>
      </c>
      <c r="BC184" s="7" t="s">
        <v>627</v>
      </c>
      <c r="BD184" s="7" t="s">
        <v>640</v>
      </c>
      <c r="BE184" s="7" t="s">
        <v>646</v>
      </c>
      <c r="BF184" s="39">
        <v>1.5</v>
      </c>
      <c r="BG184" s="7">
        <v>3.8</v>
      </c>
      <c r="BH184" s="62"/>
      <c r="BI184" s="7"/>
      <c r="BJ184" s="32"/>
      <c r="BK184" s="256"/>
    </row>
    <row r="185" spans="1:63" ht="23.25" customHeight="1" thickBot="1" x14ac:dyDescent="0.25">
      <c r="A185" s="7">
        <v>184</v>
      </c>
      <c r="B185" s="221"/>
      <c r="C185" s="221"/>
      <c r="D185" s="54" t="s">
        <v>60</v>
      </c>
      <c r="E185" s="54"/>
      <c r="F185" s="16">
        <f>11.76/14*100</f>
        <v>84</v>
      </c>
      <c r="G185" s="8">
        <f>1.18/14*100</f>
        <v>8.4285714285714288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f>0.06/14*100</f>
        <v>0.4285714285714286</v>
      </c>
      <c r="Q185" s="8">
        <v>0</v>
      </c>
      <c r="R185" s="8">
        <v>0</v>
      </c>
      <c r="S185" s="17">
        <v>0</v>
      </c>
      <c r="T185" s="8">
        <v>7.1428571428571432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14">
        <f t="shared" si="20"/>
        <v>100</v>
      </c>
      <c r="AE185" s="8">
        <f t="shared" si="21"/>
        <v>11.785714285714285</v>
      </c>
      <c r="AF185" s="8">
        <v>0</v>
      </c>
      <c r="AG185" s="8">
        <v>0</v>
      </c>
      <c r="AH185" s="8">
        <v>0</v>
      </c>
      <c r="AI185" s="63" t="s">
        <v>1531</v>
      </c>
      <c r="AJ185" s="7"/>
      <c r="AK185" s="93">
        <v>1323</v>
      </c>
      <c r="AL185" s="158"/>
      <c r="AM185" s="85"/>
      <c r="AN185" s="85"/>
      <c r="AO185" s="85"/>
      <c r="AP185" s="85"/>
      <c r="AQ185" s="85"/>
      <c r="AR185" s="85"/>
      <c r="AS185" s="85"/>
      <c r="AT185" s="205"/>
      <c r="AU185" s="85"/>
      <c r="AV185" s="196"/>
      <c r="AW185" s="85"/>
      <c r="AX185" s="85"/>
      <c r="AY185" s="39"/>
      <c r="AZ185" s="7">
        <v>339</v>
      </c>
      <c r="BA185" s="62">
        <v>1.5</v>
      </c>
      <c r="BB185" s="7" t="s">
        <v>624</v>
      </c>
      <c r="BC185" s="7" t="s">
        <v>626</v>
      </c>
      <c r="BD185" s="7" t="s">
        <v>641</v>
      </c>
      <c r="BE185" s="7" t="s">
        <v>647</v>
      </c>
      <c r="BF185" s="39">
        <v>1.5</v>
      </c>
      <c r="BG185" s="7">
        <v>3.4</v>
      </c>
      <c r="BH185" s="62"/>
      <c r="BI185" s="7"/>
      <c r="BJ185" s="32"/>
      <c r="BK185" s="256"/>
    </row>
    <row r="186" spans="1:63" s="4" customFormat="1" ht="23.25" customHeight="1" thickBot="1" x14ac:dyDescent="0.25">
      <c r="A186" s="62">
        <v>185</v>
      </c>
      <c r="B186" s="238">
        <v>55</v>
      </c>
      <c r="C186" s="238" t="s">
        <v>1565</v>
      </c>
      <c r="D186" s="12" t="s">
        <v>61</v>
      </c>
      <c r="E186" s="12"/>
      <c r="F186" s="87">
        <v>83.571428571428569</v>
      </c>
      <c r="G186" s="88">
        <v>9.2857142857142865</v>
      </c>
      <c r="H186" s="88">
        <v>0</v>
      </c>
      <c r="I186" s="88">
        <v>0</v>
      </c>
      <c r="J186" s="88">
        <v>0</v>
      </c>
      <c r="K186" s="88">
        <v>0</v>
      </c>
      <c r="L186" s="88">
        <v>0</v>
      </c>
      <c r="M186" s="88">
        <v>0</v>
      </c>
      <c r="N186" s="88">
        <v>0</v>
      </c>
      <c r="O186" s="88">
        <v>0</v>
      </c>
      <c r="P186" s="88">
        <v>0</v>
      </c>
      <c r="Q186" s="88">
        <v>0</v>
      </c>
      <c r="R186" s="88">
        <v>0</v>
      </c>
      <c r="S186" s="89">
        <v>0</v>
      </c>
      <c r="T186" s="88">
        <v>7.1428571428571423</v>
      </c>
      <c r="U186" s="88">
        <v>0</v>
      </c>
      <c r="V186" s="88">
        <v>0</v>
      </c>
      <c r="W186" s="88">
        <v>0</v>
      </c>
      <c r="X186" s="88">
        <v>0</v>
      </c>
      <c r="Y186" s="88">
        <v>0</v>
      </c>
      <c r="Z186" s="88">
        <v>0</v>
      </c>
      <c r="AA186" s="88">
        <v>0</v>
      </c>
      <c r="AB186" s="88">
        <v>0</v>
      </c>
      <c r="AC186" s="88">
        <v>0</v>
      </c>
      <c r="AD186" s="90">
        <f t="shared" si="20"/>
        <v>100</v>
      </c>
      <c r="AE186" s="88">
        <v>0</v>
      </c>
      <c r="AF186" s="88">
        <v>0</v>
      </c>
      <c r="AG186" s="88">
        <v>0</v>
      </c>
      <c r="AH186" s="88">
        <v>0</v>
      </c>
      <c r="AI186" s="156" t="s">
        <v>1531</v>
      </c>
      <c r="AJ186" s="45">
        <v>720</v>
      </c>
      <c r="AK186" s="91">
        <v>1273</v>
      </c>
      <c r="AL186" s="197"/>
      <c r="AM186" s="189"/>
      <c r="AN186" s="189"/>
      <c r="AO186" s="189"/>
      <c r="AP186" s="189"/>
      <c r="AQ186" s="189"/>
      <c r="AR186" s="189"/>
      <c r="AS186" s="189"/>
      <c r="AT186" s="198"/>
      <c r="AU186" s="189"/>
      <c r="AV186" s="199"/>
      <c r="AW186" s="189">
        <v>11.481</v>
      </c>
      <c r="AX186" s="189"/>
      <c r="AY186" s="156"/>
      <c r="AZ186" s="45">
        <v>185</v>
      </c>
      <c r="BA186" s="91"/>
      <c r="BB186" s="45"/>
      <c r="BC186" s="45"/>
      <c r="BD186" s="45"/>
      <c r="BE186" s="45"/>
      <c r="BF186" s="156"/>
      <c r="BG186" s="45"/>
      <c r="BH186" s="91"/>
      <c r="BI186" s="45"/>
      <c r="BJ186" s="67"/>
      <c r="BK186" s="257" t="s">
        <v>63</v>
      </c>
    </row>
    <row r="187" spans="1:63" ht="23.25" customHeight="1" thickBot="1" x14ac:dyDescent="0.25">
      <c r="A187" s="7">
        <v>186</v>
      </c>
      <c r="B187" s="221"/>
      <c r="C187" s="221"/>
      <c r="D187" s="54" t="s">
        <v>12</v>
      </c>
      <c r="E187" s="54"/>
      <c r="F187" s="16">
        <v>79.285714285714278</v>
      </c>
      <c r="G187" s="8">
        <v>13.571428571428571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17">
        <v>0</v>
      </c>
      <c r="T187" s="8">
        <v>7.1428571428571423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14">
        <f t="shared" si="20"/>
        <v>99.999999999999986</v>
      </c>
      <c r="AE187" s="8">
        <v>0</v>
      </c>
      <c r="AF187" s="8">
        <v>0</v>
      </c>
      <c r="AG187" s="8">
        <v>0</v>
      </c>
      <c r="AH187" s="8">
        <v>0</v>
      </c>
      <c r="AI187" s="39" t="s">
        <v>1531</v>
      </c>
      <c r="AJ187" s="7">
        <v>720</v>
      </c>
      <c r="AK187" s="62">
        <v>1273</v>
      </c>
      <c r="AL187" s="158"/>
      <c r="AM187" s="85"/>
      <c r="AN187" s="85"/>
      <c r="AO187" s="85"/>
      <c r="AP187" s="85"/>
      <c r="AQ187" s="85"/>
      <c r="AR187" s="85"/>
      <c r="AS187" s="85"/>
      <c r="AT187" s="205"/>
      <c r="AU187" s="85"/>
      <c r="AV187" s="196"/>
      <c r="AW187" s="85"/>
      <c r="AX187" s="85"/>
      <c r="AY187" s="39"/>
      <c r="AZ187" s="7">
        <v>220</v>
      </c>
      <c r="BA187" s="62"/>
      <c r="BB187" s="7"/>
      <c r="BC187" s="7"/>
      <c r="BD187" s="7"/>
      <c r="BE187" s="7"/>
      <c r="BF187" s="39"/>
      <c r="BG187" s="7"/>
      <c r="BH187" s="62"/>
      <c r="BI187" s="7"/>
      <c r="BJ187" s="32"/>
      <c r="BK187" s="257"/>
    </row>
    <row r="188" spans="1:63" ht="23.25" customHeight="1" thickBot="1" x14ac:dyDescent="0.25">
      <c r="A188" s="62">
        <v>187</v>
      </c>
      <c r="B188" s="221"/>
      <c r="C188" s="221"/>
      <c r="D188" s="54" t="s">
        <v>62</v>
      </c>
      <c r="E188" s="54"/>
      <c r="F188" s="16">
        <v>75.714285714285708</v>
      </c>
      <c r="G188" s="8">
        <v>17.142857142857142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17">
        <v>0</v>
      </c>
      <c r="T188" s="8">
        <v>7.1428571428571423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14">
        <f t="shared" si="20"/>
        <v>99.999999999999986</v>
      </c>
      <c r="AE188" s="8">
        <v>0</v>
      </c>
      <c r="AF188" s="8">
        <v>0</v>
      </c>
      <c r="AG188" s="8">
        <v>0</v>
      </c>
      <c r="AH188" s="8">
        <v>0</v>
      </c>
      <c r="AI188" s="39" t="s">
        <v>1531</v>
      </c>
      <c r="AJ188" s="7">
        <v>720</v>
      </c>
      <c r="AK188" s="62">
        <v>1273</v>
      </c>
      <c r="AL188" s="158"/>
      <c r="AM188" s="85"/>
      <c r="AN188" s="85"/>
      <c r="AO188" s="85"/>
      <c r="AP188" s="85"/>
      <c r="AQ188" s="85"/>
      <c r="AR188" s="85"/>
      <c r="AS188" s="85"/>
      <c r="AT188" s="205"/>
      <c r="AU188" s="85"/>
      <c r="AV188" s="196"/>
      <c r="AW188" s="85">
        <v>11.456</v>
      </c>
      <c r="AX188" s="85"/>
      <c r="AY188" s="39"/>
      <c r="AZ188" s="7">
        <v>240</v>
      </c>
      <c r="BA188" s="62"/>
      <c r="BB188" s="7"/>
      <c r="BC188" s="7"/>
      <c r="BD188" s="7"/>
      <c r="BE188" s="7"/>
      <c r="BF188" s="39"/>
      <c r="BG188" s="7"/>
      <c r="BH188" s="62"/>
      <c r="BI188" s="7"/>
      <c r="BJ188" s="32"/>
      <c r="BK188" s="257"/>
    </row>
    <row r="189" spans="1:63" ht="23.25" customHeight="1" thickBot="1" x14ac:dyDescent="0.25">
      <c r="A189" s="7">
        <v>188</v>
      </c>
      <c r="B189" s="221"/>
      <c r="C189" s="221"/>
      <c r="D189" s="223" t="s">
        <v>9</v>
      </c>
      <c r="E189" s="54" t="s">
        <v>318</v>
      </c>
      <c r="F189" s="16">
        <v>80.714285714285722</v>
      </c>
      <c r="G189" s="8">
        <v>12.142857142857142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17">
        <v>0</v>
      </c>
      <c r="T189" s="8">
        <v>7.1428571428571423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8">
        <v>0</v>
      </c>
      <c r="AB189" s="8">
        <v>0</v>
      </c>
      <c r="AC189" s="8">
        <v>0</v>
      </c>
      <c r="AD189" s="14">
        <f t="shared" si="20"/>
        <v>100</v>
      </c>
      <c r="AE189" s="8">
        <v>0</v>
      </c>
      <c r="AF189" s="8">
        <v>0</v>
      </c>
      <c r="AG189" s="8">
        <v>0</v>
      </c>
      <c r="AH189" s="8">
        <v>0</v>
      </c>
      <c r="AI189" s="39" t="s">
        <v>1531</v>
      </c>
      <c r="AJ189" s="7">
        <v>720</v>
      </c>
      <c r="AK189" s="62">
        <v>1273</v>
      </c>
      <c r="AL189" s="158"/>
      <c r="AM189" s="85"/>
      <c r="AN189" s="85"/>
      <c r="AO189" s="85"/>
      <c r="AP189" s="85"/>
      <c r="AQ189" s="85"/>
      <c r="AR189" s="85"/>
      <c r="AS189" s="85"/>
      <c r="AT189" s="205"/>
      <c r="AU189" s="85"/>
      <c r="AV189" s="196"/>
      <c r="AW189" s="85">
        <v>11.468999999999999</v>
      </c>
      <c r="AX189" s="85"/>
      <c r="AY189" s="39"/>
      <c r="AZ189" s="7"/>
      <c r="BA189" s="62"/>
      <c r="BB189" s="7"/>
      <c r="BC189" s="7"/>
      <c r="BD189" s="7"/>
      <c r="BE189" s="7"/>
      <c r="BF189" s="39"/>
      <c r="BG189" s="7"/>
      <c r="BH189" s="62"/>
      <c r="BI189" s="7"/>
      <c r="BJ189" s="32"/>
      <c r="BK189" s="257"/>
    </row>
    <row r="190" spans="1:63" ht="23.25" customHeight="1" thickBot="1" x14ac:dyDescent="0.25">
      <c r="A190" s="62">
        <v>189</v>
      </c>
      <c r="B190" s="221"/>
      <c r="C190" s="221"/>
      <c r="D190" s="223"/>
      <c r="E190" s="54" t="s">
        <v>319</v>
      </c>
      <c r="F190" s="16">
        <v>78.571428571428569</v>
      </c>
      <c r="G190" s="8">
        <v>14.285714285714285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17">
        <v>0</v>
      </c>
      <c r="T190" s="8">
        <v>7.1428571428571423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14">
        <f t="shared" si="20"/>
        <v>100</v>
      </c>
      <c r="AE190" s="8">
        <v>0</v>
      </c>
      <c r="AF190" s="8">
        <v>0</v>
      </c>
      <c r="AG190" s="8">
        <v>0</v>
      </c>
      <c r="AH190" s="8">
        <v>0</v>
      </c>
      <c r="AI190" s="39" t="s">
        <v>1531</v>
      </c>
      <c r="AJ190" s="7">
        <v>720</v>
      </c>
      <c r="AK190" s="62">
        <v>1273</v>
      </c>
      <c r="AL190" s="158"/>
      <c r="AM190" s="85"/>
      <c r="AN190" s="85"/>
      <c r="AO190" s="85"/>
      <c r="AP190" s="85"/>
      <c r="AQ190" s="85"/>
      <c r="AR190" s="85"/>
      <c r="AS190" s="85"/>
      <c r="AT190" s="205"/>
      <c r="AU190" s="85"/>
      <c r="AV190" s="196"/>
      <c r="AW190" s="85">
        <v>11.465</v>
      </c>
      <c r="AX190" s="85"/>
      <c r="AY190" s="39"/>
      <c r="AZ190" s="7"/>
      <c r="BA190" s="62"/>
      <c r="BB190" s="7"/>
      <c r="BC190" s="7"/>
      <c r="BD190" s="7"/>
      <c r="BE190" s="7"/>
      <c r="BF190" s="39"/>
      <c r="BG190" s="7"/>
      <c r="BH190" s="62"/>
      <c r="BI190" s="7"/>
      <c r="BJ190" s="32"/>
      <c r="BK190" s="257"/>
    </row>
    <row r="191" spans="1:63" ht="23.25" customHeight="1" thickBot="1" x14ac:dyDescent="0.25">
      <c r="A191" s="7">
        <v>190</v>
      </c>
      <c r="B191" s="221"/>
      <c r="C191" s="221"/>
      <c r="D191" s="223"/>
      <c r="E191" s="54" t="s">
        <v>320</v>
      </c>
      <c r="F191" s="16">
        <v>75</v>
      </c>
      <c r="G191" s="8">
        <v>17.857142857142858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17">
        <v>0</v>
      </c>
      <c r="T191" s="8">
        <v>7.1428571428571423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  <c r="Z191" s="8">
        <v>0</v>
      </c>
      <c r="AA191" s="8">
        <v>0</v>
      </c>
      <c r="AB191" s="8">
        <v>0</v>
      </c>
      <c r="AC191" s="8">
        <v>0</v>
      </c>
      <c r="AD191" s="14">
        <f t="shared" si="20"/>
        <v>100</v>
      </c>
      <c r="AE191" s="8">
        <v>0</v>
      </c>
      <c r="AF191" s="8">
        <v>0</v>
      </c>
      <c r="AG191" s="8">
        <v>0</v>
      </c>
      <c r="AH191" s="8">
        <v>0</v>
      </c>
      <c r="AI191" s="39" t="s">
        <v>1531</v>
      </c>
      <c r="AJ191" s="7">
        <v>720</v>
      </c>
      <c r="AK191" s="62">
        <v>1273</v>
      </c>
      <c r="AL191" s="158"/>
      <c r="AM191" s="85"/>
      <c r="AN191" s="85"/>
      <c r="AO191" s="85"/>
      <c r="AP191" s="85"/>
      <c r="AQ191" s="85"/>
      <c r="AR191" s="85"/>
      <c r="AS191" s="85"/>
      <c r="AT191" s="205"/>
      <c r="AU191" s="85"/>
      <c r="AV191" s="196"/>
      <c r="AW191" s="85">
        <v>11.444000000000001</v>
      </c>
      <c r="AX191" s="85"/>
      <c r="AY191" s="39"/>
      <c r="AZ191" s="7"/>
      <c r="BA191" s="62"/>
      <c r="BB191" s="7"/>
      <c r="BC191" s="7"/>
      <c r="BD191" s="7"/>
      <c r="BE191" s="7"/>
      <c r="BF191" s="39"/>
      <c r="BG191" s="7"/>
      <c r="BH191" s="62"/>
      <c r="BI191" s="7"/>
      <c r="BJ191" s="32"/>
      <c r="BK191" s="257"/>
    </row>
    <row r="192" spans="1:63" ht="23.25" customHeight="1" thickBot="1" x14ac:dyDescent="0.25">
      <c r="A192" s="62">
        <v>191</v>
      </c>
      <c r="B192" s="221"/>
      <c r="C192" s="221"/>
      <c r="D192" s="54" t="s">
        <v>64</v>
      </c>
      <c r="E192" s="54"/>
      <c r="F192" s="16">
        <v>77.857142857142861</v>
      </c>
      <c r="G192" s="8">
        <v>0</v>
      </c>
      <c r="H192" s="8">
        <v>15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17">
        <v>0</v>
      </c>
      <c r="T192" s="8">
        <v>7.1428571428571423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14">
        <f t="shared" si="20"/>
        <v>100</v>
      </c>
      <c r="AE192" s="8">
        <v>0</v>
      </c>
      <c r="AF192" s="8">
        <v>0</v>
      </c>
      <c r="AG192" s="8">
        <v>0</v>
      </c>
      <c r="AH192" s="8">
        <v>0</v>
      </c>
      <c r="AJ192" s="7"/>
      <c r="AK192" s="62"/>
      <c r="AL192" s="158"/>
      <c r="AM192" s="85"/>
      <c r="AN192" s="85"/>
      <c r="AO192" s="85"/>
      <c r="AP192" s="85"/>
      <c r="AQ192" s="85"/>
      <c r="AR192" s="85"/>
      <c r="AS192" s="85"/>
      <c r="AT192" s="205"/>
      <c r="AU192" s="85"/>
      <c r="AV192" s="196"/>
      <c r="AW192" s="85"/>
      <c r="AX192" s="85"/>
      <c r="AY192" s="39"/>
      <c r="AZ192" s="7">
        <v>200</v>
      </c>
      <c r="BA192" s="62"/>
      <c r="BB192" s="7"/>
      <c r="BC192" s="7"/>
      <c r="BD192" s="7"/>
      <c r="BE192" s="7"/>
      <c r="BF192" s="39"/>
      <c r="BG192" s="7"/>
      <c r="BH192" s="62"/>
      <c r="BI192" s="7"/>
      <c r="BJ192" s="32"/>
      <c r="BK192" s="257"/>
    </row>
    <row r="193" spans="1:63" s="6" customFormat="1" ht="23.25" customHeight="1" thickBot="1" x14ac:dyDescent="0.25">
      <c r="A193" s="7">
        <v>192</v>
      </c>
      <c r="B193" s="222"/>
      <c r="C193" s="222"/>
      <c r="D193" s="13" t="s">
        <v>65</v>
      </c>
      <c r="E193" s="13"/>
      <c r="F193" s="80">
        <v>81.428571428571431</v>
      </c>
      <c r="G193" s="81">
        <v>0</v>
      </c>
      <c r="H193" s="81">
        <v>11.428571428571429</v>
      </c>
      <c r="I193" s="81">
        <v>0</v>
      </c>
      <c r="J193" s="81">
        <v>0</v>
      </c>
      <c r="K193" s="81">
        <v>0</v>
      </c>
      <c r="L193" s="81">
        <v>0</v>
      </c>
      <c r="M193" s="81">
        <v>0</v>
      </c>
      <c r="N193" s="81">
        <v>0</v>
      </c>
      <c r="O193" s="81">
        <v>0</v>
      </c>
      <c r="P193" s="81">
        <v>0</v>
      </c>
      <c r="Q193" s="81">
        <v>0</v>
      </c>
      <c r="R193" s="81">
        <v>0</v>
      </c>
      <c r="S193" s="82">
        <v>0</v>
      </c>
      <c r="T193" s="81">
        <v>7.1428571428571423</v>
      </c>
      <c r="U193" s="81">
        <v>0</v>
      </c>
      <c r="V193" s="81">
        <v>0</v>
      </c>
      <c r="W193" s="81">
        <v>0</v>
      </c>
      <c r="X193" s="81">
        <v>0</v>
      </c>
      <c r="Y193" s="81">
        <v>0</v>
      </c>
      <c r="Z193" s="81">
        <v>0</v>
      </c>
      <c r="AA193" s="81">
        <v>0</v>
      </c>
      <c r="AB193" s="81">
        <v>0</v>
      </c>
      <c r="AC193" s="81">
        <v>0</v>
      </c>
      <c r="AD193" s="83">
        <f t="shared" si="20"/>
        <v>100</v>
      </c>
      <c r="AE193" s="81">
        <v>0</v>
      </c>
      <c r="AF193" s="81">
        <v>0</v>
      </c>
      <c r="AG193" s="81">
        <v>0</v>
      </c>
      <c r="AH193" s="81">
        <v>0</v>
      </c>
      <c r="AI193" s="79"/>
      <c r="AJ193" s="65"/>
      <c r="AK193" s="78"/>
      <c r="AL193" s="200"/>
      <c r="AM193" s="190"/>
      <c r="AN193" s="190"/>
      <c r="AO193" s="190"/>
      <c r="AP193" s="190"/>
      <c r="AQ193" s="190"/>
      <c r="AR193" s="190"/>
      <c r="AS193" s="190"/>
      <c r="AT193" s="201"/>
      <c r="AU193" s="190"/>
      <c r="AV193" s="202"/>
      <c r="AW193" s="190"/>
      <c r="AX193" s="190"/>
      <c r="AY193" s="79"/>
      <c r="AZ193" s="65">
        <v>204</v>
      </c>
      <c r="BA193" s="78"/>
      <c r="BB193" s="65"/>
      <c r="BC193" s="65"/>
      <c r="BD193" s="65"/>
      <c r="BE193" s="65"/>
      <c r="BF193" s="79"/>
      <c r="BG193" s="65"/>
      <c r="BH193" s="78"/>
      <c r="BI193" s="65"/>
      <c r="BJ193" s="68"/>
      <c r="BK193" s="257"/>
    </row>
    <row r="194" spans="1:63" ht="23.25" customHeight="1" thickBot="1" x14ac:dyDescent="0.25">
      <c r="A194" s="62">
        <v>193</v>
      </c>
      <c r="B194" s="221">
        <v>64</v>
      </c>
      <c r="C194" s="221" t="s">
        <v>1564</v>
      </c>
      <c r="D194" s="225" t="s">
        <v>66</v>
      </c>
      <c r="E194" s="54" t="s">
        <v>67</v>
      </c>
      <c r="F194" s="16">
        <v>81.285714285714207</v>
      </c>
      <c r="G194" s="8">
        <v>9.2857142857142794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2.2857142857142798</v>
      </c>
      <c r="Q194" s="8">
        <v>0</v>
      </c>
      <c r="R194" s="8">
        <v>0</v>
      </c>
      <c r="S194" s="17">
        <v>0</v>
      </c>
      <c r="T194" s="8">
        <v>7.1428571428571397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14">
        <f t="shared" si="20"/>
        <v>99.999999999999901</v>
      </c>
      <c r="AE194" s="8">
        <f>1.6*100/14</f>
        <v>11.428571428571429</v>
      </c>
      <c r="AF194" s="8">
        <v>0</v>
      </c>
      <c r="AG194" s="8">
        <v>0</v>
      </c>
      <c r="AH194" s="8">
        <v>0</v>
      </c>
      <c r="AI194" s="39" t="s">
        <v>1528</v>
      </c>
      <c r="AJ194" s="7"/>
      <c r="AK194" s="62"/>
      <c r="AL194" s="158"/>
      <c r="AM194" s="85">
        <v>5</v>
      </c>
      <c r="AN194" s="85"/>
      <c r="AO194" s="85"/>
      <c r="AP194" s="85"/>
      <c r="AQ194" s="85"/>
      <c r="AR194" s="85"/>
      <c r="AS194" s="85"/>
      <c r="AT194" s="205"/>
      <c r="AU194" s="85">
        <v>1</v>
      </c>
      <c r="AV194" s="196">
        <f t="shared" ref="AV194:AV203" si="22">SUM(AL194:AT194)</f>
        <v>5</v>
      </c>
      <c r="AW194" s="85"/>
      <c r="AX194" s="85"/>
      <c r="AY194" s="39"/>
      <c r="AZ194" s="7"/>
      <c r="BA194" s="62"/>
      <c r="BB194" s="7">
        <v>1.9</v>
      </c>
      <c r="BC194" s="7">
        <v>14.8</v>
      </c>
      <c r="BD194" s="7">
        <v>297</v>
      </c>
      <c r="BE194" s="7">
        <v>9.3000000000000007</v>
      </c>
      <c r="BF194" s="39">
        <v>1.9</v>
      </c>
      <c r="BG194" s="7">
        <v>4.3499999999999996</v>
      </c>
      <c r="BH194" s="62">
        <v>295</v>
      </c>
      <c r="BI194" s="7"/>
      <c r="BJ194" s="32"/>
      <c r="BK194" s="256"/>
    </row>
    <row r="195" spans="1:63" ht="23.25" customHeight="1" thickBot="1" x14ac:dyDescent="0.25">
      <c r="A195" s="7">
        <v>194</v>
      </c>
      <c r="B195" s="221"/>
      <c r="C195" s="221"/>
      <c r="D195" s="224"/>
      <c r="E195" s="54" t="s">
        <v>68</v>
      </c>
      <c r="F195" s="16">
        <v>81.285714285714207</v>
      </c>
      <c r="G195" s="8">
        <v>9.2857142857142794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2.2857142857142798</v>
      </c>
      <c r="Q195" s="8">
        <v>0</v>
      </c>
      <c r="R195" s="8">
        <v>0</v>
      </c>
      <c r="S195" s="17">
        <v>0</v>
      </c>
      <c r="T195" s="8">
        <v>7.1428571428571397</v>
      </c>
      <c r="U195" s="8">
        <v>0</v>
      </c>
      <c r="V195" s="8">
        <v>0</v>
      </c>
      <c r="W195" s="8">
        <v>0</v>
      </c>
      <c r="X195" s="8">
        <v>0</v>
      </c>
      <c r="Y195" s="8">
        <v>0</v>
      </c>
      <c r="Z195" s="8">
        <v>0</v>
      </c>
      <c r="AA195" s="8">
        <v>0</v>
      </c>
      <c r="AB195" s="8">
        <v>0</v>
      </c>
      <c r="AC195" s="8">
        <v>0</v>
      </c>
      <c r="AD195" s="14">
        <f t="shared" si="20"/>
        <v>99.999999999999901</v>
      </c>
      <c r="AE195" s="8">
        <f>1.6*100/14</f>
        <v>11.428571428571429</v>
      </c>
      <c r="AF195" s="8">
        <v>0</v>
      </c>
      <c r="AG195" s="8">
        <v>0</v>
      </c>
      <c r="AH195" s="8">
        <v>0</v>
      </c>
      <c r="AI195" s="39" t="s">
        <v>1528</v>
      </c>
      <c r="AJ195" s="7"/>
      <c r="AK195" s="62"/>
      <c r="AL195" s="158"/>
      <c r="AM195" s="85">
        <v>5</v>
      </c>
      <c r="AN195" s="85"/>
      <c r="AO195" s="85"/>
      <c r="AP195" s="85"/>
      <c r="AQ195" s="85"/>
      <c r="AR195" s="85"/>
      <c r="AS195" s="85"/>
      <c r="AT195" s="205"/>
      <c r="AU195" s="85">
        <v>1</v>
      </c>
      <c r="AV195" s="196">
        <f t="shared" si="22"/>
        <v>5</v>
      </c>
      <c r="AW195" s="85"/>
      <c r="AX195" s="85"/>
      <c r="AY195" s="39"/>
      <c r="AZ195" s="7"/>
      <c r="BA195" s="62"/>
      <c r="BB195" s="7">
        <v>1.9</v>
      </c>
      <c r="BC195" s="7">
        <v>14.8</v>
      </c>
      <c r="BD195" s="7">
        <v>297</v>
      </c>
      <c r="BE195" s="7">
        <v>9.1999999999999993</v>
      </c>
      <c r="BF195" s="39">
        <v>1.9</v>
      </c>
      <c r="BG195" s="7">
        <v>4.3</v>
      </c>
      <c r="BH195" s="62">
        <v>295</v>
      </c>
      <c r="BI195" s="7"/>
      <c r="BJ195" s="32"/>
      <c r="BK195" s="256"/>
    </row>
    <row r="196" spans="1:63" s="4" customFormat="1" ht="23.25" customHeight="1" thickBot="1" x14ac:dyDescent="0.25">
      <c r="A196" s="62">
        <v>195</v>
      </c>
      <c r="B196" s="238">
        <v>67</v>
      </c>
      <c r="C196" s="251" t="s">
        <v>1828</v>
      </c>
      <c r="D196" s="225" t="s">
        <v>17</v>
      </c>
      <c r="E196" s="12"/>
      <c r="F196" s="87">
        <v>82.857142857142847</v>
      </c>
      <c r="G196" s="88">
        <v>10</v>
      </c>
      <c r="H196" s="88">
        <v>0</v>
      </c>
      <c r="I196" s="88">
        <v>0</v>
      </c>
      <c r="J196" s="88">
        <v>0</v>
      </c>
      <c r="K196" s="88">
        <v>0</v>
      </c>
      <c r="L196" s="88">
        <v>0</v>
      </c>
      <c r="M196" s="88">
        <v>0</v>
      </c>
      <c r="N196" s="88">
        <v>0</v>
      </c>
      <c r="O196" s="88">
        <v>0</v>
      </c>
      <c r="P196" s="88">
        <v>0</v>
      </c>
      <c r="Q196" s="88">
        <v>0</v>
      </c>
      <c r="R196" s="88">
        <v>0</v>
      </c>
      <c r="S196" s="89">
        <v>0</v>
      </c>
      <c r="T196" s="88">
        <v>7.1428571428571423</v>
      </c>
      <c r="U196" s="88">
        <v>0</v>
      </c>
      <c r="V196" s="88">
        <v>0</v>
      </c>
      <c r="W196" s="88">
        <v>0</v>
      </c>
      <c r="X196" s="88">
        <v>0</v>
      </c>
      <c r="Y196" s="88">
        <v>0</v>
      </c>
      <c r="Z196" s="88">
        <v>0</v>
      </c>
      <c r="AA196" s="88">
        <v>0</v>
      </c>
      <c r="AB196" s="88">
        <v>0</v>
      </c>
      <c r="AC196" s="88">
        <v>0</v>
      </c>
      <c r="AD196" s="90">
        <f t="shared" si="20"/>
        <v>99.999999999999986</v>
      </c>
      <c r="AE196" s="88">
        <v>0</v>
      </c>
      <c r="AF196" s="88">
        <v>0</v>
      </c>
      <c r="AG196" s="88">
        <v>0</v>
      </c>
      <c r="AH196" s="88">
        <v>0</v>
      </c>
      <c r="AI196" s="156" t="s">
        <v>1531</v>
      </c>
      <c r="AJ196" s="45">
        <v>1</v>
      </c>
      <c r="AK196" s="91">
        <v>1423</v>
      </c>
      <c r="AL196" s="197">
        <v>22.8</v>
      </c>
      <c r="AM196" s="189">
        <v>56.2</v>
      </c>
      <c r="AN196" s="189">
        <v>21</v>
      </c>
      <c r="AO196" s="189"/>
      <c r="AP196" s="189"/>
      <c r="AQ196" s="189"/>
      <c r="AR196" s="189"/>
      <c r="AS196" s="189"/>
      <c r="AT196" s="198"/>
      <c r="AU196" s="189">
        <v>1</v>
      </c>
      <c r="AV196" s="199">
        <f t="shared" si="22"/>
        <v>100</v>
      </c>
      <c r="AW196" s="189"/>
      <c r="AX196" s="189"/>
      <c r="AY196" s="156"/>
      <c r="AZ196" s="45"/>
      <c r="BA196" s="91"/>
      <c r="BB196" s="45"/>
      <c r="BC196" s="45"/>
      <c r="BD196" s="45"/>
      <c r="BE196" s="45"/>
      <c r="BF196" s="156"/>
      <c r="BG196" s="45"/>
      <c r="BH196" s="91"/>
      <c r="BI196" s="45"/>
      <c r="BJ196" s="67"/>
      <c r="BK196" s="256"/>
    </row>
    <row r="197" spans="1:63" ht="23.25" customHeight="1" thickBot="1" x14ac:dyDescent="0.25">
      <c r="A197" s="7">
        <v>196</v>
      </c>
      <c r="B197" s="221"/>
      <c r="C197" s="239"/>
      <c r="D197" s="223"/>
      <c r="E197" s="54"/>
      <c r="F197" s="16">
        <v>82.857142857142847</v>
      </c>
      <c r="G197" s="8">
        <v>10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17">
        <v>0</v>
      </c>
      <c r="T197" s="8">
        <v>7.1428571428571423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14">
        <f t="shared" si="20"/>
        <v>99.999999999999986</v>
      </c>
      <c r="AE197" s="8">
        <v>0</v>
      </c>
      <c r="AF197" s="8">
        <v>0</v>
      </c>
      <c r="AG197" s="8">
        <v>0</v>
      </c>
      <c r="AH197" s="8">
        <v>0</v>
      </c>
      <c r="AI197" s="39" t="s">
        <v>1531</v>
      </c>
      <c r="AJ197" s="7">
        <v>1</v>
      </c>
      <c r="AK197" s="62">
        <v>1473</v>
      </c>
      <c r="AL197" s="158">
        <v>73.5</v>
      </c>
      <c r="AM197" s="85">
        <v>18.899999999999999</v>
      </c>
      <c r="AN197" s="85">
        <v>7.6</v>
      </c>
      <c r="AO197" s="85"/>
      <c r="AP197" s="85"/>
      <c r="AQ197" s="85"/>
      <c r="AR197" s="85"/>
      <c r="AS197" s="85"/>
      <c r="AT197" s="205"/>
      <c r="AU197" s="85">
        <v>1</v>
      </c>
      <c r="AV197" s="196">
        <f t="shared" si="22"/>
        <v>100</v>
      </c>
      <c r="AW197" s="85"/>
      <c r="AX197" s="85"/>
      <c r="AY197" s="39"/>
      <c r="AZ197" s="7"/>
      <c r="BA197" s="62"/>
      <c r="BB197" s="7"/>
      <c r="BC197" s="7"/>
      <c r="BD197" s="7"/>
      <c r="BE197" s="7"/>
      <c r="BF197" s="39"/>
      <c r="BG197" s="7"/>
      <c r="BH197" s="62"/>
      <c r="BI197" s="7"/>
      <c r="BJ197" s="32"/>
      <c r="BK197" s="256"/>
    </row>
    <row r="198" spans="1:63" s="6" customFormat="1" ht="23.25" customHeight="1" thickBot="1" x14ac:dyDescent="0.25">
      <c r="A198" s="62">
        <v>197</v>
      </c>
      <c r="B198" s="222"/>
      <c r="C198" s="240"/>
      <c r="D198" s="224"/>
      <c r="E198" s="13"/>
      <c r="F198" s="80">
        <v>82.857142857142847</v>
      </c>
      <c r="G198" s="81">
        <v>10</v>
      </c>
      <c r="H198" s="81">
        <v>0</v>
      </c>
      <c r="I198" s="81">
        <v>0</v>
      </c>
      <c r="J198" s="81">
        <v>0</v>
      </c>
      <c r="K198" s="81">
        <v>0</v>
      </c>
      <c r="L198" s="81">
        <v>0</v>
      </c>
      <c r="M198" s="81">
        <v>0</v>
      </c>
      <c r="N198" s="81">
        <v>0</v>
      </c>
      <c r="O198" s="81">
        <v>0</v>
      </c>
      <c r="P198" s="81">
        <v>0</v>
      </c>
      <c r="Q198" s="81">
        <v>0</v>
      </c>
      <c r="R198" s="81">
        <v>0</v>
      </c>
      <c r="S198" s="82">
        <v>0</v>
      </c>
      <c r="T198" s="81">
        <v>7.1428571428571423</v>
      </c>
      <c r="U198" s="81">
        <v>0</v>
      </c>
      <c r="V198" s="81">
        <v>0</v>
      </c>
      <c r="W198" s="81">
        <v>0</v>
      </c>
      <c r="X198" s="81">
        <v>0</v>
      </c>
      <c r="Y198" s="81">
        <v>0</v>
      </c>
      <c r="Z198" s="81">
        <v>0</v>
      </c>
      <c r="AA198" s="81">
        <v>0</v>
      </c>
      <c r="AB198" s="81">
        <v>0</v>
      </c>
      <c r="AC198" s="81">
        <v>0</v>
      </c>
      <c r="AD198" s="83">
        <f t="shared" si="20"/>
        <v>99.999999999999986</v>
      </c>
      <c r="AE198" s="81">
        <v>0</v>
      </c>
      <c r="AF198" s="81">
        <v>0</v>
      </c>
      <c r="AG198" s="81">
        <v>0</v>
      </c>
      <c r="AH198" s="81">
        <v>0</v>
      </c>
      <c r="AI198" s="79" t="s">
        <v>1531</v>
      </c>
      <c r="AJ198" s="65">
        <v>1</v>
      </c>
      <c r="AK198" s="78">
        <v>1573</v>
      </c>
      <c r="AL198" s="200">
        <v>91.4</v>
      </c>
      <c r="AM198" s="190">
        <v>4.5</v>
      </c>
      <c r="AN198" s="190">
        <v>4.0999999999999996</v>
      </c>
      <c r="AO198" s="190"/>
      <c r="AP198" s="190"/>
      <c r="AQ198" s="190"/>
      <c r="AR198" s="190"/>
      <c r="AS198" s="190"/>
      <c r="AT198" s="201"/>
      <c r="AU198" s="190">
        <v>1</v>
      </c>
      <c r="AV198" s="202">
        <f t="shared" si="22"/>
        <v>100</v>
      </c>
      <c r="AW198" s="190"/>
      <c r="AX198" s="190"/>
      <c r="AY198" s="79"/>
      <c r="AZ198" s="65">
        <v>190</v>
      </c>
      <c r="BA198" s="78"/>
      <c r="BB198" s="65" t="s">
        <v>524</v>
      </c>
      <c r="BC198" s="65" t="s">
        <v>650</v>
      </c>
      <c r="BD198" s="65" t="s">
        <v>648</v>
      </c>
      <c r="BE198" s="65" t="s">
        <v>649</v>
      </c>
      <c r="BF198" s="79"/>
      <c r="BG198" s="65"/>
      <c r="BH198" s="78"/>
      <c r="BI198" s="65"/>
      <c r="BJ198" s="68"/>
      <c r="BK198" s="256"/>
    </row>
    <row r="199" spans="1:63" ht="23.25" customHeight="1" thickBot="1" x14ac:dyDescent="0.25">
      <c r="A199" s="7">
        <v>198</v>
      </c>
      <c r="B199" s="221">
        <v>76</v>
      </c>
      <c r="C199" s="221" t="s">
        <v>1563</v>
      </c>
      <c r="D199" s="225" t="s">
        <v>69</v>
      </c>
      <c r="E199" s="54" t="s">
        <v>324</v>
      </c>
      <c r="F199" s="16">
        <f>11.6/(1+11.6+1.4)*100</f>
        <v>82.857142857142847</v>
      </c>
      <c r="G199" s="8">
        <f>1.4/(1+11.6+1.4)*100</f>
        <v>10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17">
        <v>0</v>
      </c>
      <c r="T199" s="8">
        <f>1/(1+11.6+1.4)*100</f>
        <v>7.1428571428571423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8">
        <v>0</v>
      </c>
      <c r="AD199" s="14">
        <f t="shared" si="20"/>
        <v>99.999999999999986</v>
      </c>
      <c r="AE199" s="8">
        <f>1.68/(1+11.6+1.4)*100</f>
        <v>12</v>
      </c>
      <c r="AF199" s="8">
        <v>0</v>
      </c>
      <c r="AG199" s="8">
        <v>0</v>
      </c>
      <c r="AH199" s="8">
        <v>0</v>
      </c>
      <c r="AI199" s="39" t="s">
        <v>1531</v>
      </c>
      <c r="AJ199" s="7">
        <v>168</v>
      </c>
      <c r="AK199" s="62">
        <v>1323</v>
      </c>
      <c r="AL199" s="158"/>
      <c r="AM199" s="85">
        <v>1.1000000000000001</v>
      </c>
      <c r="AN199" s="85"/>
      <c r="AO199" s="85"/>
      <c r="AP199" s="85"/>
      <c r="AQ199" s="85"/>
      <c r="AR199" s="85"/>
      <c r="AS199" s="85"/>
      <c r="AT199" s="205"/>
      <c r="AU199" s="85">
        <v>1</v>
      </c>
      <c r="AV199" s="196">
        <f t="shared" si="22"/>
        <v>1.1000000000000001</v>
      </c>
      <c r="AW199" s="85"/>
      <c r="AX199" s="85"/>
      <c r="AY199" s="39"/>
      <c r="AZ199" s="7">
        <v>334.5</v>
      </c>
      <c r="BA199" s="62"/>
      <c r="BB199" s="7">
        <v>2</v>
      </c>
      <c r="BC199" s="75">
        <v>19.3</v>
      </c>
      <c r="BD199" s="186">
        <v>337</v>
      </c>
      <c r="BE199" s="75">
        <v>8.9</v>
      </c>
      <c r="BF199" s="39">
        <v>1.93</v>
      </c>
      <c r="BG199" s="7">
        <v>5.2</v>
      </c>
      <c r="BH199" s="62">
        <v>334</v>
      </c>
      <c r="BI199" s="7">
        <v>6.99</v>
      </c>
      <c r="BJ199" s="32"/>
      <c r="BK199" s="256"/>
    </row>
    <row r="200" spans="1:63" ht="23.25" customHeight="1" thickBot="1" x14ac:dyDescent="0.25">
      <c r="A200" s="62">
        <v>199</v>
      </c>
      <c r="B200" s="221"/>
      <c r="C200" s="221"/>
      <c r="D200" s="223"/>
      <c r="E200" s="54" t="s">
        <v>325</v>
      </c>
      <c r="F200" s="16">
        <f>12.8/(1+12.8+1.4)*100</f>
        <v>84.210526315789465</v>
      </c>
      <c r="G200" s="8">
        <f>1.4/(1+12.8+1.4)*100</f>
        <v>9.2105263157894726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17">
        <v>0</v>
      </c>
      <c r="T200" s="8">
        <f>1/(1+12.8+1.4)*100</f>
        <v>6.5789473684210522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14">
        <f t="shared" si="20"/>
        <v>99.999999999999986</v>
      </c>
      <c r="AE200" s="8">
        <f>1.72/(1+12.8+1.4)*100</f>
        <v>11.315789473684209</v>
      </c>
      <c r="AF200" s="8">
        <v>0</v>
      </c>
      <c r="AG200" s="8">
        <v>0</v>
      </c>
      <c r="AH200" s="8">
        <v>0</v>
      </c>
      <c r="AI200" s="39" t="s">
        <v>1531</v>
      </c>
      <c r="AJ200" s="7">
        <v>168</v>
      </c>
      <c r="AK200" s="62">
        <v>1323</v>
      </c>
      <c r="AL200" s="158"/>
      <c r="AM200" s="85">
        <v>6.4</v>
      </c>
      <c r="AN200" s="85"/>
      <c r="AO200" s="85"/>
      <c r="AP200" s="85"/>
      <c r="AQ200" s="85"/>
      <c r="AR200" s="85"/>
      <c r="AS200" s="85"/>
      <c r="AT200" s="205"/>
      <c r="AU200" s="85">
        <v>1</v>
      </c>
      <c r="AV200" s="196">
        <f t="shared" si="22"/>
        <v>6.4</v>
      </c>
      <c r="AW200" s="85"/>
      <c r="AX200" s="85"/>
      <c r="AY200" s="39"/>
      <c r="AZ200" s="7">
        <v>335</v>
      </c>
      <c r="BA200" s="62"/>
      <c r="BB200" s="7">
        <v>2</v>
      </c>
      <c r="BC200" s="75">
        <v>19.8</v>
      </c>
      <c r="BD200" s="186">
        <v>336</v>
      </c>
      <c r="BE200" s="75">
        <v>9.4</v>
      </c>
      <c r="BF200" s="39">
        <v>1.93</v>
      </c>
      <c r="BG200" s="7">
        <v>5.2</v>
      </c>
      <c r="BH200" s="62">
        <v>335</v>
      </c>
      <c r="BI200" s="7">
        <v>7.1</v>
      </c>
      <c r="BJ200" s="32"/>
      <c r="BK200" s="256"/>
    </row>
    <row r="201" spans="1:63" ht="23.25" customHeight="1" thickBot="1" x14ac:dyDescent="0.25">
      <c r="A201" s="7">
        <v>200</v>
      </c>
      <c r="B201" s="221"/>
      <c r="C201" s="221"/>
      <c r="D201" s="223"/>
      <c r="E201" s="54" t="s">
        <v>333</v>
      </c>
      <c r="F201" s="16">
        <f>13.9/(1+13.9+1.4)*100</f>
        <v>85.276073619631902</v>
      </c>
      <c r="G201" s="8">
        <f>1.4/(1+13.9+1.4)*100</f>
        <v>8.5889570552147223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17">
        <v>0</v>
      </c>
      <c r="T201" s="8">
        <f>1/(1+13.9+1.4)*100</f>
        <v>6.1349693251533743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  <c r="Z201" s="8">
        <v>0</v>
      </c>
      <c r="AA201" s="8">
        <v>0</v>
      </c>
      <c r="AB201" s="8">
        <v>0</v>
      </c>
      <c r="AC201" s="8">
        <v>0</v>
      </c>
      <c r="AD201" s="14">
        <f t="shared" si="20"/>
        <v>100</v>
      </c>
      <c r="AE201" s="8">
        <f>1.8/(1+13.9+1.4)*100</f>
        <v>11.042944785276074</v>
      </c>
      <c r="AF201" s="8">
        <v>0</v>
      </c>
      <c r="AG201" s="8">
        <v>0</v>
      </c>
      <c r="AH201" s="8">
        <v>0</v>
      </c>
      <c r="AI201" s="39" t="s">
        <v>1531</v>
      </c>
      <c r="AJ201" s="7">
        <v>168</v>
      </c>
      <c r="AK201" s="62">
        <v>1323</v>
      </c>
      <c r="AL201" s="158"/>
      <c r="AM201" s="85">
        <v>15.5</v>
      </c>
      <c r="AN201" s="85"/>
      <c r="AO201" s="85"/>
      <c r="AP201" s="85"/>
      <c r="AQ201" s="85"/>
      <c r="AR201" s="85"/>
      <c r="AS201" s="85"/>
      <c r="AT201" s="205"/>
      <c r="AU201" s="85">
        <v>1</v>
      </c>
      <c r="AV201" s="196">
        <f t="shared" si="22"/>
        <v>15.5</v>
      </c>
      <c r="AW201" s="85"/>
      <c r="AX201" s="85"/>
      <c r="AY201" s="39"/>
      <c r="AZ201" s="7">
        <v>336</v>
      </c>
      <c r="BA201" s="62"/>
      <c r="BB201" s="7">
        <v>2</v>
      </c>
      <c r="BC201" s="75">
        <v>18.600000000000001</v>
      </c>
      <c r="BD201" s="186">
        <v>339</v>
      </c>
      <c r="BE201" s="75">
        <v>8.6999999999999993</v>
      </c>
      <c r="BF201" s="39">
        <v>1.93</v>
      </c>
      <c r="BG201" s="7">
        <v>5.2</v>
      </c>
      <c r="BH201" s="62">
        <v>334</v>
      </c>
      <c r="BI201" s="7">
        <v>7.11</v>
      </c>
      <c r="BJ201" s="32"/>
      <c r="BK201" s="256"/>
    </row>
    <row r="202" spans="1:63" ht="23.25" customHeight="1" thickBot="1" x14ac:dyDescent="0.25">
      <c r="A202" s="62">
        <v>201</v>
      </c>
      <c r="B202" s="221"/>
      <c r="C202" s="221"/>
      <c r="D202" s="223"/>
      <c r="E202" s="54" t="s">
        <v>326</v>
      </c>
      <c r="F202" s="16">
        <f>15.1/(1+15.1+1.4)*100</f>
        <v>86.285714285714292</v>
      </c>
      <c r="G202" s="8">
        <f>1.4/(1+15.1+1.4)*100</f>
        <v>8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17">
        <v>0</v>
      </c>
      <c r="T202" s="8">
        <f>1/(1+15.1+1.4)*100</f>
        <v>5.7142857142857144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14">
        <f t="shared" si="20"/>
        <v>100</v>
      </c>
      <c r="AE202" s="8">
        <f>1.88/(1+15.1+1.4)*100</f>
        <v>10.742857142857144</v>
      </c>
      <c r="AF202" s="8">
        <v>0</v>
      </c>
      <c r="AG202" s="8">
        <v>0</v>
      </c>
      <c r="AH202" s="8">
        <v>0</v>
      </c>
      <c r="AI202" s="39" t="s">
        <v>1531</v>
      </c>
      <c r="AJ202" s="7">
        <v>168</v>
      </c>
      <c r="AK202" s="62">
        <v>1323</v>
      </c>
      <c r="AL202" s="158"/>
      <c r="AM202" s="85">
        <v>21.6</v>
      </c>
      <c r="AN202" s="85"/>
      <c r="AO202" s="85"/>
      <c r="AP202" s="85"/>
      <c r="AQ202" s="85"/>
      <c r="AR202" s="85"/>
      <c r="AS202" s="85"/>
      <c r="AT202" s="205"/>
      <c r="AU202" s="85">
        <v>1</v>
      </c>
      <c r="AV202" s="196">
        <f t="shared" si="22"/>
        <v>21.6</v>
      </c>
      <c r="AW202" s="85"/>
      <c r="AX202" s="85"/>
      <c r="AY202" s="39"/>
      <c r="AZ202" s="7">
        <v>338</v>
      </c>
      <c r="BA202" s="62"/>
      <c r="BB202" s="7">
        <v>2</v>
      </c>
      <c r="BC202" s="75">
        <v>14</v>
      </c>
      <c r="BD202" s="186">
        <v>341</v>
      </c>
      <c r="BE202" s="75">
        <v>10.1</v>
      </c>
      <c r="BF202" s="39"/>
      <c r="BG202" s="7"/>
      <c r="BH202" s="62"/>
      <c r="BI202" s="7">
        <v>7.14</v>
      </c>
      <c r="BJ202" s="32"/>
      <c r="BK202" s="256"/>
    </row>
    <row r="203" spans="1:63" ht="23.25" customHeight="1" thickBot="1" x14ac:dyDescent="0.25">
      <c r="A203" s="7">
        <v>202</v>
      </c>
      <c r="B203" s="221"/>
      <c r="C203" s="221"/>
      <c r="D203" s="223"/>
      <c r="E203" s="54" t="s">
        <v>327</v>
      </c>
      <c r="F203" s="16">
        <f>16.2/(1+16.2+1.4)*100</f>
        <v>87.096774193548399</v>
      </c>
      <c r="G203" s="8">
        <f>1.4/(1+16.2+1.4)*100</f>
        <v>7.5268817204301079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17">
        <v>0</v>
      </c>
      <c r="T203" s="8">
        <f>1/(1+16.2+1.4)*100</f>
        <v>5.3763440860215059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0</v>
      </c>
      <c r="AD203" s="14">
        <f t="shared" si="20"/>
        <v>100.00000000000001</v>
      </c>
      <c r="AE203" s="8">
        <f>1.95/(1+16.2+1.4)*100</f>
        <v>10.483870967741936</v>
      </c>
      <c r="AF203" s="8">
        <v>0</v>
      </c>
      <c r="AG203" s="8">
        <v>0</v>
      </c>
      <c r="AH203" s="8">
        <v>0</v>
      </c>
      <c r="AI203" s="39" t="s">
        <v>1531</v>
      </c>
      <c r="AJ203" s="7">
        <v>168</v>
      </c>
      <c r="AK203" s="62">
        <v>1323</v>
      </c>
      <c r="AL203" s="158"/>
      <c r="AM203" s="85">
        <v>23.7</v>
      </c>
      <c r="AN203" s="85"/>
      <c r="AO203" s="85"/>
      <c r="AP203" s="85"/>
      <c r="AQ203" s="85"/>
      <c r="AR203" s="85"/>
      <c r="AS203" s="85"/>
      <c r="AT203" s="205"/>
      <c r="AU203" s="85">
        <v>1</v>
      </c>
      <c r="AV203" s="196">
        <f t="shared" si="22"/>
        <v>23.7</v>
      </c>
      <c r="AW203" s="85"/>
      <c r="AX203" s="85"/>
      <c r="AY203" s="39"/>
      <c r="AZ203" s="7">
        <v>339</v>
      </c>
      <c r="BA203" s="62"/>
      <c r="BB203" s="7">
        <v>2</v>
      </c>
      <c r="BC203" s="75">
        <v>12.7</v>
      </c>
      <c r="BD203" s="186">
        <v>340</v>
      </c>
      <c r="BE203" s="75">
        <v>9.8000000000000007</v>
      </c>
      <c r="BF203" s="39">
        <v>1.93</v>
      </c>
      <c r="BG203" s="7">
        <v>4.7</v>
      </c>
      <c r="BH203" s="62">
        <v>334</v>
      </c>
      <c r="BI203" s="7">
        <v>7.17</v>
      </c>
      <c r="BJ203" s="32"/>
      <c r="BK203" s="256"/>
    </row>
    <row r="204" spans="1:63" ht="23.25" customHeight="1" thickBot="1" x14ac:dyDescent="0.25">
      <c r="A204" s="62">
        <v>203</v>
      </c>
      <c r="B204" s="221"/>
      <c r="C204" s="221"/>
      <c r="D204" s="223"/>
      <c r="E204" s="54" t="s">
        <v>328</v>
      </c>
      <c r="F204" s="16">
        <v>82.857142857142847</v>
      </c>
      <c r="G204" s="8">
        <v>10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17">
        <v>0</v>
      </c>
      <c r="T204" s="8">
        <v>7.1428571428571423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14">
        <f t="shared" si="20"/>
        <v>99.999999999999986</v>
      </c>
      <c r="AE204" s="8">
        <v>0</v>
      </c>
      <c r="AF204" s="8">
        <v>0</v>
      </c>
      <c r="AG204" s="8">
        <v>0</v>
      </c>
      <c r="AH204" s="8">
        <v>0</v>
      </c>
      <c r="AI204" s="39" t="s">
        <v>1531</v>
      </c>
      <c r="AJ204" s="7">
        <v>168</v>
      </c>
      <c r="AK204" s="62">
        <v>1323</v>
      </c>
      <c r="AL204" s="158"/>
      <c r="AM204" s="85"/>
      <c r="AN204" s="85"/>
      <c r="AO204" s="85"/>
      <c r="AP204" s="85"/>
      <c r="AQ204" s="85"/>
      <c r="AR204" s="85"/>
      <c r="AS204" s="85"/>
      <c r="AT204" s="205"/>
      <c r="AU204" s="85"/>
      <c r="AV204" s="196"/>
      <c r="AW204" s="85"/>
      <c r="AX204" s="85"/>
      <c r="AY204" s="39"/>
      <c r="AZ204" s="7">
        <v>192</v>
      </c>
      <c r="BA204" s="62"/>
      <c r="BB204" s="7"/>
      <c r="BC204" s="7"/>
      <c r="BD204" s="7"/>
      <c r="BE204" s="7"/>
      <c r="BF204" s="39"/>
      <c r="BG204" s="7"/>
      <c r="BH204" s="62"/>
      <c r="BI204" s="7"/>
      <c r="BJ204" s="32"/>
      <c r="BK204" s="256"/>
    </row>
    <row r="205" spans="1:63" ht="23.25" customHeight="1" thickBot="1" x14ac:dyDescent="0.25">
      <c r="A205" s="7">
        <v>204</v>
      </c>
      <c r="B205" s="221"/>
      <c r="C205" s="221"/>
      <c r="D205" s="223"/>
      <c r="E205" s="54" t="s">
        <v>332</v>
      </c>
      <c r="F205" s="16">
        <v>84.210526315789465</v>
      </c>
      <c r="G205" s="8">
        <v>9.2105263157894726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17">
        <v>0</v>
      </c>
      <c r="T205" s="8">
        <v>6.5789473684210522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14">
        <f t="shared" si="20"/>
        <v>99.999999999999986</v>
      </c>
      <c r="AE205" s="8">
        <v>0</v>
      </c>
      <c r="AF205" s="8">
        <v>0</v>
      </c>
      <c r="AG205" s="8">
        <v>0</v>
      </c>
      <c r="AH205" s="8">
        <v>0</v>
      </c>
      <c r="AI205" s="39" t="s">
        <v>1531</v>
      </c>
      <c r="AJ205" s="7">
        <v>168</v>
      </c>
      <c r="AK205" s="62">
        <v>1323</v>
      </c>
      <c r="AL205" s="158"/>
      <c r="AM205" s="85"/>
      <c r="AN205" s="85"/>
      <c r="AO205" s="85"/>
      <c r="AP205" s="85"/>
      <c r="AQ205" s="85"/>
      <c r="AR205" s="85"/>
      <c r="AS205" s="85"/>
      <c r="AT205" s="205"/>
      <c r="AU205" s="85"/>
      <c r="AV205" s="196"/>
      <c r="AW205" s="85"/>
      <c r="AX205" s="85"/>
      <c r="AY205" s="39"/>
      <c r="AZ205" s="7">
        <v>189</v>
      </c>
      <c r="BA205" s="62"/>
      <c r="BB205" s="7"/>
      <c r="BC205" s="7"/>
      <c r="BD205" s="7"/>
      <c r="BE205" s="7"/>
      <c r="BF205" s="39"/>
      <c r="BG205" s="7"/>
      <c r="BH205" s="62"/>
      <c r="BI205" s="7"/>
      <c r="BJ205" s="32"/>
      <c r="BK205" s="256"/>
    </row>
    <row r="206" spans="1:63" ht="23.25" customHeight="1" thickBot="1" x14ac:dyDescent="0.25">
      <c r="A206" s="62">
        <v>205</v>
      </c>
      <c r="B206" s="221"/>
      <c r="C206" s="221"/>
      <c r="D206" s="223"/>
      <c r="E206" s="54" t="s">
        <v>331</v>
      </c>
      <c r="F206" s="16">
        <v>85.276073619631902</v>
      </c>
      <c r="G206" s="8">
        <v>8.5889570552147223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17">
        <v>0</v>
      </c>
      <c r="T206" s="8">
        <v>6.1349693251533743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14">
        <f t="shared" si="20"/>
        <v>100</v>
      </c>
      <c r="AE206" s="8">
        <v>0</v>
      </c>
      <c r="AF206" s="8">
        <v>0</v>
      </c>
      <c r="AG206" s="8">
        <v>0</v>
      </c>
      <c r="AH206" s="8">
        <v>0</v>
      </c>
      <c r="AI206" s="39" t="s">
        <v>1531</v>
      </c>
      <c r="AJ206" s="7">
        <v>168</v>
      </c>
      <c r="AK206" s="62">
        <v>1323</v>
      </c>
      <c r="AL206" s="158"/>
      <c r="AM206" s="85"/>
      <c r="AN206" s="85"/>
      <c r="AO206" s="85"/>
      <c r="AP206" s="85"/>
      <c r="AQ206" s="85"/>
      <c r="AR206" s="85"/>
      <c r="AS206" s="85"/>
      <c r="AT206" s="205"/>
      <c r="AU206" s="85"/>
      <c r="AV206" s="196"/>
      <c r="AW206" s="85"/>
      <c r="AX206" s="85"/>
      <c r="AY206" s="39"/>
      <c r="AZ206" s="7">
        <v>188.9</v>
      </c>
      <c r="BA206" s="62"/>
      <c r="BB206" s="7"/>
      <c r="BC206" s="7"/>
      <c r="BD206" s="7"/>
      <c r="BE206" s="7"/>
      <c r="BF206" s="39"/>
      <c r="BG206" s="7"/>
      <c r="BH206" s="62"/>
      <c r="BI206" s="7"/>
      <c r="BJ206" s="32"/>
      <c r="BK206" s="256"/>
    </row>
    <row r="207" spans="1:63" ht="23.25" customHeight="1" thickBot="1" x14ac:dyDescent="0.25">
      <c r="A207" s="7">
        <v>206</v>
      </c>
      <c r="B207" s="221"/>
      <c r="C207" s="221"/>
      <c r="D207" s="223"/>
      <c r="E207" s="54" t="s">
        <v>330</v>
      </c>
      <c r="F207" s="16">
        <v>86.285714285714292</v>
      </c>
      <c r="G207" s="8">
        <v>8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17">
        <v>0</v>
      </c>
      <c r="T207" s="8">
        <v>5.7142857142857144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14">
        <f t="shared" si="20"/>
        <v>100</v>
      </c>
      <c r="AE207" s="8">
        <v>0</v>
      </c>
      <c r="AF207" s="8">
        <v>0</v>
      </c>
      <c r="AG207" s="8">
        <v>0</v>
      </c>
      <c r="AH207" s="8">
        <v>0</v>
      </c>
      <c r="AI207" s="39" t="s">
        <v>1531</v>
      </c>
      <c r="AJ207" s="7">
        <v>168</v>
      </c>
      <c r="AK207" s="62">
        <v>1323</v>
      </c>
      <c r="AL207" s="158"/>
      <c r="AM207" s="85"/>
      <c r="AN207" s="85"/>
      <c r="AO207" s="85"/>
      <c r="AP207" s="85"/>
      <c r="AQ207" s="85"/>
      <c r="AR207" s="85"/>
      <c r="AS207" s="85"/>
      <c r="AT207" s="205"/>
      <c r="AU207" s="85"/>
      <c r="AV207" s="196"/>
      <c r="AW207" s="85"/>
      <c r="AX207" s="85"/>
      <c r="AY207" s="39"/>
      <c r="AZ207" s="7">
        <v>188.9</v>
      </c>
      <c r="BA207" s="62"/>
      <c r="BB207" s="7"/>
      <c r="BC207" s="7"/>
      <c r="BD207" s="7"/>
      <c r="BE207" s="7"/>
      <c r="BF207" s="39"/>
      <c r="BG207" s="7"/>
      <c r="BH207" s="62"/>
      <c r="BI207" s="7"/>
      <c r="BJ207" s="32"/>
      <c r="BK207" s="256"/>
    </row>
    <row r="208" spans="1:63" ht="23.25" customHeight="1" thickBot="1" x14ac:dyDescent="0.25">
      <c r="A208" s="62">
        <v>207</v>
      </c>
      <c r="B208" s="221"/>
      <c r="C208" s="221"/>
      <c r="D208" s="224"/>
      <c r="E208" s="54" t="s">
        <v>329</v>
      </c>
      <c r="F208" s="16">
        <v>87.096774193548399</v>
      </c>
      <c r="G208" s="8">
        <v>7.5268817204301079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17">
        <v>0</v>
      </c>
      <c r="T208" s="8">
        <v>5.3763440860215059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14">
        <f t="shared" si="20"/>
        <v>100.00000000000001</v>
      </c>
      <c r="AE208" s="8">
        <v>0</v>
      </c>
      <c r="AF208" s="8">
        <v>0</v>
      </c>
      <c r="AG208" s="8">
        <v>0</v>
      </c>
      <c r="AH208" s="8">
        <v>0</v>
      </c>
      <c r="AI208" s="39" t="s">
        <v>1531</v>
      </c>
      <c r="AJ208" s="7">
        <v>168</v>
      </c>
      <c r="AK208" s="62">
        <v>1323</v>
      </c>
      <c r="AL208" s="158"/>
      <c r="AM208" s="85"/>
      <c r="AN208" s="85"/>
      <c r="AO208" s="85"/>
      <c r="AP208" s="85"/>
      <c r="AQ208" s="85"/>
      <c r="AR208" s="85"/>
      <c r="AS208" s="85"/>
      <c r="AT208" s="205"/>
      <c r="AU208" s="85"/>
      <c r="AV208" s="196"/>
      <c r="AW208" s="85"/>
      <c r="AX208" s="85"/>
      <c r="AY208" s="39"/>
      <c r="AZ208" s="7">
        <v>185.4</v>
      </c>
      <c r="BA208" s="62"/>
      <c r="BB208" s="7"/>
      <c r="BC208" s="7"/>
      <c r="BD208" s="7"/>
      <c r="BE208" s="7"/>
      <c r="BF208" s="39"/>
      <c r="BG208" s="7"/>
      <c r="BH208" s="62"/>
      <c r="BI208" s="7"/>
      <c r="BJ208" s="32"/>
      <c r="BK208" s="256"/>
    </row>
    <row r="209" spans="1:63" s="4" customFormat="1" ht="23.25" customHeight="1" thickBot="1" x14ac:dyDescent="0.25">
      <c r="A209" s="7">
        <v>208</v>
      </c>
      <c r="B209" s="238">
        <v>82</v>
      </c>
      <c r="C209" s="238" t="s">
        <v>1562</v>
      </c>
      <c r="D209" s="225" t="s">
        <v>70</v>
      </c>
      <c r="E209" s="12" t="s">
        <v>334</v>
      </c>
      <c r="F209" s="87">
        <v>83.571428571428569</v>
      </c>
      <c r="G209" s="88">
        <v>9.2857142857142847</v>
      </c>
      <c r="H209" s="88">
        <v>0</v>
      </c>
      <c r="I209" s="88">
        <v>0</v>
      </c>
      <c r="J209" s="88">
        <v>0</v>
      </c>
      <c r="K209" s="88">
        <v>0</v>
      </c>
      <c r="L209" s="88">
        <v>0</v>
      </c>
      <c r="M209" s="88">
        <v>0</v>
      </c>
      <c r="N209" s="88">
        <v>0</v>
      </c>
      <c r="O209" s="88">
        <v>0</v>
      </c>
      <c r="P209" s="88">
        <v>0</v>
      </c>
      <c r="Q209" s="88">
        <v>0</v>
      </c>
      <c r="R209" s="88">
        <v>0</v>
      </c>
      <c r="S209" s="89">
        <v>0</v>
      </c>
      <c r="T209" s="88">
        <v>7.1428571428571423</v>
      </c>
      <c r="U209" s="88">
        <v>0</v>
      </c>
      <c r="V209" s="88">
        <v>0</v>
      </c>
      <c r="W209" s="88">
        <v>0</v>
      </c>
      <c r="X209" s="88">
        <v>0</v>
      </c>
      <c r="Y209" s="88">
        <v>0</v>
      </c>
      <c r="Z209" s="88">
        <v>0</v>
      </c>
      <c r="AA209" s="88">
        <v>0</v>
      </c>
      <c r="AB209" s="88">
        <v>0</v>
      </c>
      <c r="AC209" s="88">
        <v>0</v>
      </c>
      <c r="AD209" s="90">
        <f t="shared" si="20"/>
        <v>100</v>
      </c>
      <c r="AE209" s="88">
        <v>0</v>
      </c>
      <c r="AF209" s="88">
        <v>0</v>
      </c>
      <c r="AG209" s="88">
        <v>0</v>
      </c>
      <c r="AH209" s="88">
        <v>0</v>
      </c>
      <c r="AI209" s="156" t="s">
        <v>1531</v>
      </c>
      <c r="AJ209" s="45">
        <v>144</v>
      </c>
      <c r="AK209" s="91">
        <v>1173</v>
      </c>
      <c r="AL209" s="197"/>
      <c r="AM209" s="189"/>
      <c r="AN209" s="189"/>
      <c r="AO209" s="189"/>
      <c r="AP209" s="189"/>
      <c r="AQ209" s="189"/>
      <c r="AR209" s="189"/>
      <c r="AS209" s="189"/>
      <c r="AT209" s="198"/>
      <c r="AU209" s="189"/>
      <c r="AV209" s="199"/>
      <c r="AW209" s="189"/>
      <c r="AX209" s="189"/>
      <c r="AY209" s="156">
        <v>0.1</v>
      </c>
      <c r="AZ209" s="45">
        <v>199</v>
      </c>
      <c r="BA209" s="91"/>
      <c r="BB209" s="45">
        <v>1.6</v>
      </c>
      <c r="BC209" s="187">
        <v>19.2</v>
      </c>
      <c r="BD209" s="187">
        <v>199</v>
      </c>
      <c r="BE209" s="187">
        <v>7.8</v>
      </c>
      <c r="BF209" s="156"/>
      <c r="BG209" s="45"/>
      <c r="BH209" s="91"/>
      <c r="BI209" s="45"/>
      <c r="BJ209" s="67"/>
      <c r="BK209" s="256"/>
    </row>
    <row r="210" spans="1:63" ht="23.25" customHeight="1" thickBot="1" x14ac:dyDescent="0.25">
      <c r="A210" s="62">
        <v>209</v>
      </c>
      <c r="B210" s="221"/>
      <c r="C210" s="221"/>
      <c r="D210" s="223"/>
      <c r="E210" s="54" t="s">
        <v>335</v>
      </c>
      <c r="F210" s="16">
        <v>83.571428571428569</v>
      </c>
      <c r="G210" s="8">
        <v>9.2857142857142847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17">
        <v>0</v>
      </c>
      <c r="T210" s="8">
        <v>7.1428571428571423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14">
        <f t="shared" si="20"/>
        <v>100</v>
      </c>
      <c r="AE210" s="8">
        <v>0</v>
      </c>
      <c r="AF210" s="8">
        <v>0</v>
      </c>
      <c r="AG210" s="8">
        <v>0</v>
      </c>
      <c r="AH210" s="8">
        <v>0.2142857142857143</v>
      </c>
      <c r="AI210" s="39" t="s">
        <v>1531</v>
      </c>
      <c r="AJ210" s="7">
        <v>144</v>
      </c>
      <c r="AK210" s="62">
        <v>1173</v>
      </c>
      <c r="AL210" s="158"/>
      <c r="AM210" s="85"/>
      <c r="AN210" s="85"/>
      <c r="AO210" s="85"/>
      <c r="AP210" s="85"/>
      <c r="AQ210" s="85"/>
      <c r="AR210" s="85"/>
      <c r="AS210" s="85"/>
      <c r="AT210" s="205"/>
      <c r="AU210" s="85"/>
      <c r="AV210" s="196"/>
      <c r="AW210" s="85"/>
      <c r="AX210" s="85"/>
      <c r="AY210" s="39">
        <v>0.1</v>
      </c>
      <c r="AZ210" s="7">
        <v>197</v>
      </c>
      <c r="BA210" s="62"/>
      <c r="BB210" s="7">
        <v>1.6</v>
      </c>
      <c r="BC210" s="75">
        <v>19.3</v>
      </c>
      <c r="BD210" s="75"/>
      <c r="BE210" s="75"/>
      <c r="BF210" s="39"/>
      <c r="BG210" s="7"/>
      <c r="BH210" s="62"/>
      <c r="BI210" s="7"/>
      <c r="BJ210" s="32"/>
      <c r="BK210" s="256"/>
    </row>
    <row r="211" spans="1:63" ht="23.25" customHeight="1" thickBot="1" x14ac:dyDescent="0.25">
      <c r="A211" s="7">
        <v>210</v>
      </c>
      <c r="B211" s="221"/>
      <c r="C211" s="221"/>
      <c r="D211" s="223"/>
      <c r="E211" s="54" t="s">
        <v>307</v>
      </c>
      <c r="F211" s="16">
        <v>83.571428571428569</v>
      </c>
      <c r="G211" s="8">
        <v>9.2857142857142847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17">
        <v>0</v>
      </c>
      <c r="T211" s="8">
        <v>7.1428571428571423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14">
        <f t="shared" si="20"/>
        <v>100</v>
      </c>
      <c r="AE211" s="8">
        <v>0</v>
      </c>
      <c r="AF211" s="8">
        <v>0</v>
      </c>
      <c r="AG211" s="8">
        <v>0</v>
      </c>
      <c r="AH211" s="8">
        <v>0.4285714285714286</v>
      </c>
      <c r="AI211" s="39" t="s">
        <v>1531</v>
      </c>
      <c r="AJ211" s="7">
        <v>144</v>
      </c>
      <c r="AK211" s="62">
        <v>1173</v>
      </c>
      <c r="AL211" s="158"/>
      <c r="AM211" s="85"/>
      <c r="AN211" s="85"/>
      <c r="AO211" s="85"/>
      <c r="AP211" s="85"/>
      <c r="AQ211" s="85"/>
      <c r="AR211" s="85"/>
      <c r="AS211" s="85"/>
      <c r="AT211" s="205"/>
      <c r="AU211" s="85"/>
      <c r="AV211" s="196"/>
      <c r="AW211" s="85"/>
      <c r="AX211" s="85"/>
      <c r="AY211" s="39">
        <v>0.1</v>
      </c>
      <c r="AZ211" s="7">
        <v>194</v>
      </c>
      <c r="BA211" s="62"/>
      <c r="BB211" s="7">
        <v>1.6</v>
      </c>
      <c r="BC211" s="75">
        <v>20.100000000000001</v>
      </c>
      <c r="BD211" s="75">
        <v>197.1</v>
      </c>
      <c r="BE211" s="75">
        <v>6.7</v>
      </c>
      <c r="BF211" s="39"/>
      <c r="BG211" s="7"/>
      <c r="BH211" s="62"/>
      <c r="BI211" s="7"/>
      <c r="BJ211" s="32"/>
      <c r="BK211" s="256"/>
    </row>
    <row r="212" spans="1:63" ht="23.25" customHeight="1" thickBot="1" x14ac:dyDescent="0.25">
      <c r="A212" s="62">
        <v>211</v>
      </c>
      <c r="B212" s="221"/>
      <c r="C212" s="221"/>
      <c r="D212" s="223"/>
      <c r="E212" s="54" t="s">
        <v>339</v>
      </c>
      <c r="F212" s="16">
        <v>83.571428571428569</v>
      </c>
      <c r="G212" s="8">
        <v>9.2857142857142847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17">
        <v>0</v>
      </c>
      <c r="T212" s="8">
        <v>7.1428571428571423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14">
        <f t="shared" si="20"/>
        <v>100</v>
      </c>
      <c r="AE212" s="8">
        <v>0</v>
      </c>
      <c r="AF212" s="8">
        <v>0</v>
      </c>
      <c r="AG212" s="8">
        <v>0</v>
      </c>
      <c r="AH212" s="8">
        <v>0.7142857142857143</v>
      </c>
      <c r="AI212" s="39" t="s">
        <v>1531</v>
      </c>
      <c r="AJ212" s="7">
        <v>144</v>
      </c>
      <c r="AK212" s="62">
        <v>1173</v>
      </c>
      <c r="AL212" s="158"/>
      <c r="AM212" s="85"/>
      <c r="AN212" s="85"/>
      <c r="AO212" s="85"/>
      <c r="AP212" s="85"/>
      <c r="AQ212" s="85"/>
      <c r="AR212" s="85"/>
      <c r="AS212" s="85"/>
      <c r="AT212" s="205"/>
      <c r="AU212" s="85"/>
      <c r="AV212" s="196"/>
      <c r="AW212" s="85"/>
      <c r="AX212" s="85"/>
      <c r="AY212" s="39">
        <v>0.1</v>
      </c>
      <c r="AZ212" s="7">
        <v>196</v>
      </c>
      <c r="BA212" s="62"/>
      <c r="BB212" s="7">
        <v>1.6</v>
      </c>
      <c r="BC212" s="75">
        <v>17</v>
      </c>
      <c r="BD212" s="75">
        <v>198</v>
      </c>
      <c r="BE212" s="75">
        <v>6.3447100000000196</v>
      </c>
      <c r="BF212" s="39"/>
      <c r="BG212" s="7"/>
      <c r="BH212" s="62"/>
      <c r="BI212" s="7"/>
      <c r="BJ212" s="32"/>
      <c r="BK212" s="256"/>
    </row>
    <row r="213" spans="1:63" ht="23.25" customHeight="1" thickBot="1" x14ac:dyDescent="0.25">
      <c r="A213" s="7">
        <v>212</v>
      </c>
      <c r="B213" s="221"/>
      <c r="C213" s="221"/>
      <c r="D213" s="223"/>
      <c r="E213" s="54" t="s">
        <v>338</v>
      </c>
      <c r="F213" s="16">
        <v>83.571428571428569</v>
      </c>
      <c r="G213" s="8">
        <v>9.2857142857142847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17">
        <v>0</v>
      </c>
      <c r="T213" s="8">
        <v>7.1428571428571423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0</v>
      </c>
      <c r="AD213" s="14">
        <f t="shared" si="20"/>
        <v>100</v>
      </c>
      <c r="AE213" s="8">
        <v>0</v>
      </c>
      <c r="AF213" s="8">
        <v>0</v>
      </c>
      <c r="AG213" s="8">
        <v>0</v>
      </c>
      <c r="AH213" s="8">
        <v>1.4285714285714286</v>
      </c>
      <c r="AI213" s="39" t="s">
        <v>1531</v>
      </c>
      <c r="AJ213" s="7">
        <v>144</v>
      </c>
      <c r="AK213" s="62">
        <v>1173</v>
      </c>
      <c r="AL213" s="158"/>
      <c r="AM213" s="85"/>
      <c r="AN213" s="85"/>
      <c r="AO213" s="85"/>
      <c r="AP213" s="85"/>
      <c r="AQ213" s="85"/>
      <c r="AR213" s="85"/>
      <c r="AS213" s="85"/>
      <c r="AT213" s="205"/>
      <c r="AU213" s="85"/>
      <c r="AV213" s="196"/>
      <c r="AW213" s="85"/>
      <c r="AX213" s="85"/>
      <c r="AY213" s="39">
        <v>0.1</v>
      </c>
      <c r="AZ213" s="7">
        <v>199</v>
      </c>
      <c r="BA213" s="62"/>
      <c r="BB213" s="7">
        <v>1.6</v>
      </c>
      <c r="BC213" s="75">
        <v>19</v>
      </c>
      <c r="BD213" s="75">
        <v>202</v>
      </c>
      <c r="BE213" s="75">
        <v>7.9</v>
      </c>
      <c r="BF213" s="39"/>
      <c r="BG213" s="7"/>
      <c r="BH213" s="62"/>
      <c r="BI213" s="7"/>
      <c r="BJ213" s="32"/>
      <c r="BK213" s="256"/>
    </row>
    <row r="214" spans="1:63" ht="23.25" customHeight="1" thickBot="1" x14ac:dyDescent="0.25">
      <c r="A214" s="62">
        <v>213</v>
      </c>
      <c r="B214" s="221"/>
      <c r="C214" s="221"/>
      <c r="D214" s="223"/>
      <c r="E214" s="54" t="s">
        <v>337</v>
      </c>
      <c r="F214" s="16">
        <v>83.571428571428569</v>
      </c>
      <c r="G214" s="8">
        <v>9.2857142857142847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17">
        <v>0</v>
      </c>
      <c r="T214" s="8">
        <v>7.1428571428571423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14">
        <f t="shared" si="20"/>
        <v>100</v>
      </c>
      <c r="AE214" s="8">
        <v>0</v>
      </c>
      <c r="AF214" s="8">
        <v>0</v>
      </c>
      <c r="AG214" s="8">
        <v>0</v>
      </c>
      <c r="AH214" s="8">
        <v>2.1428571428571428</v>
      </c>
      <c r="AI214" s="39" t="s">
        <v>1531</v>
      </c>
      <c r="AJ214" s="7">
        <v>144</v>
      </c>
      <c r="AK214" s="62">
        <v>1173</v>
      </c>
      <c r="AL214" s="158"/>
      <c r="AM214" s="85"/>
      <c r="AN214" s="85"/>
      <c r="AO214" s="85"/>
      <c r="AP214" s="85"/>
      <c r="AQ214" s="85"/>
      <c r="AR214" s="85"/>
      <c r="AS214" s="85"/>
      <c r="AT214" s="205"/>
      <c r="AU214" s="85"/>
      <c r="AV214" s="196"/>
      <c r="AW214" s="85"/>
      <c r="AX214" s="85"/>
      <c r="AY214" s="39">
        <v>0.1</v>
      </c>
      <c r="AZ214" s="7">
        <v>201</v>
      </c>
      <c r="BA214" s="62"/>
      <c r="BB214" s="7">
        <v>1.6</v>
      </c>
      <c r="BC214" s="75">
        <v>18.7</v>
      </c>
      <c r="BD214" s="75">
        <v>205</v>
      </c>
      <c r="BE214" s="75">
        <v>6.4</v>
      </c>
      <c r="BF214" s="39"/>
      <c r="BG214" s="7"/>
      <c r="BH214" s="62"/>
      <c r="BI214" s="7"/>
      <c r="BJ214" s="32"/>
      <c r="BK214" s="256"/>
    </row>
    <row r="215" spans="1:63" s="6" customFormat="1" ht="23.25" customHeight="1" thickBot="1" x14ac:dyDescent="0.25">
      <c r="A215" s="7">
        <v>214</v>
      </c>
      <c r="B215" s="222"/>
      <c r="C215" s="222"/>
      <c r="D215" s="224"/>
      <c r="E215" s="13" t="s">
        <v>336</v>
      </c>
      <c r="F215" s="80">
        <v>83.571428571428569</v>
      </c>
      <c r="G215" s="81">
        <v>9.2857142857142847</v>
      </c>
      <c r="H215" s="81">
        <v>0</v>
      </c>
      <c r="I215" s="81">
        <v>0</v>
      </c>
      <c r="J215" s="81">
        <v>0</v>
      </c>
      <c r="K215" s="81">
        <v>0</v>
      </c>
      <c r="L215" s="81">
        <v>0</v>
      </c>
      <c r="M215" s="81">
        <v>0</v>
      </c>
      <c r="N215" s="81">
        <v>0</v>
      </c>
      <c r="O215" s="81">
        <v>0</v>
      </c>
      <c r="P215" s="81">
        <v>0</v>
      </c>
      <c r="Q215" s="81">
        <v>0</v>
      </c>
      <c r="R215" s="81">
        <v>0</v>
      </c>
      <c r="S215" s="82">
        <v>0</v>
      </c>
      <c r="T215" s="81">
        <v>7.1428571428571423</v>
      </c>
      <c r="U215" s="81">
        <v>0</v>
      </c>
      <c r="V215" s="81">
        <v>0</v>
      </c>
      <c r="W215" s="81">
        <v>0</v>
      </c>
      <c r="X215" s="81">
        <v>0</v>
      </c>
      <c r="Y215" s="81">
        <v>0</v>
      </c>
      <c r="Z215" s="81">
        <v>0</v>
      </c>
      <c r="AA215" s="81">
        <v>0</v>
      </c>
      <c r="AB215" s="81">
        <v>0</v>
      </c>
      <c r="AC215" s="81">
        <v>0</v>
      </c>
      <c r="AD215" s="83">
        <f t="shared" si="20"/>
        <v>100</v>
      </c>
      <c r="AE215" s="81">
        <v>0</v>
      </c>
      <c r="AF215" s="81">
        <v>0</v>
      </c>
      <c r="AG215" s="81">
        <v>0</v>
      </c>
      <c r="AH215" s="81">
        <v>3.5714285714285712</v>
      </c>
      <c r="AI215" s="79" t="s">
        <v>1531</v>
      </c>
      <c r="AJ215" s="65">
        <v>144</v>
      </c>
      <c r="AK215" s="78">
        <v>1173</v>
      </c>
      <c r="AL215" s="200"/>
      <c r="AM215" s="190"/>
      <c r="AN215" s="190"/>
      <c r="AO215" s="190"/>
      <c r="AP215" s="190"/>
      <c r="AQ215" s="190"/>
      <c r="AR215" s="190"/>
      <c r="AS215" s="190"/>
      <c r="AT215" s="201"/>
      <c r="AU215" s="190"/>
      <c r="AV215" s="202"/>
      <c r="AW215" s="190"/>
      <c r="AX215" s="190"/>
      <c r="AY215" s="79">
        <v>0.1</v>
      </c>
      <c r="AZ215" s="65">
        <v>207</v>
      </c>
      <c r="BA215" s="78"/>
      <c r="BB215" s="65">
        <v>1.6</v>
      </c>
      <c r="BC215" s="188">
        <v>9.86</v>
      </c>
      <c r="BD215" s="188">
        <v>211</v>
      </c>
      <c r="BE215" s="188">
        <v>8.5</v>
      </c>
      <c r="BF215" s="79"/>
      <c r="BG215" s="65"/>
      <c r="BH215" s="78"/>
      <c r="BI215" s="65"/>
      <c r="BJ215" s="68"/>
      <c r="BK215" s="256"/>
    </row>
    <row r="216" spans="1:63" ht="23.25" customHeight="1" thickBot="1" x14ac:dyDescent="0.25">
      <c r="A216" s="62">
        <v>215</v>
      </c>
      <c r="B216" s="221">
        <v>83</v>
      </c>
      <c r="C216" s="221" t="s">
        <v>1561</v>
      </c>
      <c r="D216" s="225" t="s">
        <v>264</v>
      </c>
      <c r="E216" s="54" t="s">
        <v>344</v>
      </c>
      <c r="F216" s="16">
        <v>83.571428571428569</v>
      </c>
      <c r="G216" s="8">
        <v>9.2857142857142865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17">
        <v>0</v>
      </c>
      <c r="T216" s="8">
        <v>7.1428571428571423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D216" s="14">
        <f t="shared" si="20"/>
        <v>100</v>
      </c>
      <c r="AE216" s="8">
        <v>0</v>
      </c>
      <c r="AF216" s="8">
        <v>0</v>
      </c>
      <c r="AG216" s="8">
        <v>0</v>
      </c>
      <c r="AH216" s="8">
        <v>0</v>
      </c>
      <c r="AI216" s="39" t="s">
        <v>1531</v>
      </c>
      <c r="AJ216" s="7">
        <v>960</v>
      </c>
      <c r="AK216" s="62">
        <v>1323</v>
      </c>
      <c r="AL216" s="158"/>
      <c r="AM216" s="85"/>
      <c r="AN216" s="85"/>
      <c r="AO216" s="85"/>
      <c r="AP216" s="85"/>
      <c r="AQ216" s="85"/>
      <c r="AR216" s="85"/>
      <c r="AS216" s="85"/>
      <c r="AT216" s="205"/>
      <c r="AU216" s="85"/>
      <c r="AV216" s="196"/>
      <c r="AW216" s="85"/>
      <c r="AX216" s="85"/>
      <c r="AY216" s="39"/>
      <c r="AZ216" s="7"/>
      <c r="BA216" s="62"/>
      <c r="BB216" s="7">
        <v>5</v>
      </c>
      <c r="BC216" s="75">
        <v>28.5</v>
      </c>
      <c r="BD216" s="75">
        <v>192</v>
      </c>
      <c r="BE216" s="75">
        <v>20</v>
      </c>
      <c r="BF216" s="39"/>
      <c r="BG216" s="7"/>
      <c r="BH216" s="62"/>
      <c r="BI216" s="7"/>
      <c r="BJ216" s="32"/>
      <c r="BK216" s="256"/>
    </row>
    <row r="217" spans="1:63" ht="23.25" customHeight="1" thickBot="1" x14ac:dyDescent="0.25">
      <c r="A217" s="7">
        <v>216</v>
      </c>
      <c r="B217" s="221"/>
      <c r="C217" s="221"/>
      <c r="D217" s="223"/>
      <c r="E217" s="54" t="s">
        <v>270</v>
      </c>
      <c r="F217" s="16">
        <v>82.857142857142847</v>
      </c>
      <c r="G217" s="8">
        <v>10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17">
        <v>0</v>
      </c>
      <c r="T217" s="8">
        <v>7.1428571428571423</v>
      </c>
      <c r="U217" s="8">
        <v>0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  <c r="AB217" s="8">
        <v>0</v>
      </c>
      <c r="AC217" s="8">
        <v>0</v>
      </c>
      <c r="AD217" s="14">
        <f t="shared" ref="AD217:AD279" si="23">SUM(F217:AC217)</f>
        <v>99.999999999999986</v>
      </c>
      <c r="AE217" s="8">
        <v>0</v>
      </c>
      <c r="AF217" s="8">
        <v>0</v>
      </c>
      <c r="AG217" s="8">
        <v>0</v>
      </c>
      <c r="AH217" s="8">
        <v>0</v>
      </c>
      <c r="AI217" s="39" t="s">
        <v>1531</v>
      </c>
      <c r="AJ217" s="7">
        <v>960</v>
      </c>
      <c r="AK217" s="62">
        <v>1323</v>
      </c>
      <c r="AL217" s="158"/>
      <c r="AM217" s="85"/>
      <c r="AN217" s="85"/>
      <c r="AO217" s="85"/>
      <c r="AP217" s="85"/>
      <c r="AQ217" s="85"/>
      <c r="AR217" s="85"/>
      <c r="AS217" s="85"/>
      <c r="AT217" s="205"/>
      <c r="AU217" s="85"/>
      <c r="AV217" s="196"/>
      <c r="AW217" s="85"/>
      <c r="AX217" s="85"/>
      <c r="AY217" s="39"/>
      <c r="AZ217" s="7"/>
      <c r="BA217" s="62"/>
      <c r="BB217" s="7">
        <v>5</v>
      </c>
      <c r="BC217" s="75">
        <v>26.8</v>
      </c>
      <c r="BD217" s="75">
        <v>195.5</v>
      </c>
      <c r="BE217" s="75">
        <v>18.8</v>
      </c>
      <c r="BF217" s="39"/>
      <c r="BG217" s="7"/>
      <c r="BH217" s="62"/>
      <c r="BI217" s="7"/>
      <c r="BJ217" s="32"/>
      <c r="BK217" s="256"/>
    </row>
    <row r="218" spans="1:63" ht="23.25" customHeight="1" thickBot="1" x14ac:dyDescent="0.25">
      <c r="A218" s="62">
        <v>217</v>
      </c>
      <c r="B218" s="221"/>
      <c r="C218" s="221"/>
      <c r="D218" s="223"/>
      <c r="E218" s="54" t="s">
        <v>269</v>
      </c>
      <c r="F218" s="16">
        <v>81.428571428571431</v>
      </c>
      <c r="G218" s="8">
        <v>11.428571428571429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17">
        <v>0</v>
      </c>
      <c r="T218" s="8">
        <v>7.1428571428571423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14">
        <f t="shared" si="23"/>
        <v>100</v>
      </c>
      <c r="AE218" s="8">
        <v>0</v>
      </c>
      <c r="AF218" s="8">
        <v>0</v>
      </c>
      <c r="AG218" s="8">
        <v>0</v>
      </c>
      <c r="AH218" s="8">
        <v>0</v>
      </c>
      <c r="AI218" s="39" t="s">
        <v>1531</v>
      </c>
      <c r="AJ218" s="7">
        <v>960</v>
      </c>
      <c r="AK218" s="62">
        <v>1323</v>
      </c>
      <c r="AL218" s="158"/>
      <c r="AM218" s="85"/>
      <c r="AN218" s="85"/>
      <c r="AO218" s="85"/>
      <c r="AP218" s="85"/>
      <c r="AQ218" s="85"/>
      <c r="AR218" s="85"/>
      <c r="AS218" s="85"/>
      <c r="AT218" s="205"/>
      <c r="AU218" s="85"/>
      <c r="AV218" s="196"/>
      <c r="AW218" s="85"/>
      <c r="AX218" s="85"/>
      <c r="AY218" s="39"/>
      <c r="AZ218" s="7"/>
      <c r="BA218" s="62"/>
      <c r="BB218" s="7">
        <v>5</v>
      </c>
      <c r="BC218" s="75">
        <v>24</v>
      </c>
      <c r="BD218" s="75">
        <v>203.9</v>
      </c>
      <c r="BE218" s="75">
        <v>20.9</v>
      </c>
      <c r="BF218" s="39"/>
      <c r="BG218" s="7"/>
      <c r="BH218" s="62"/>
      <c r="BI218" s="7"/>
      <c r="BJ218" s="32"/>
      <c r="BK218" s="256"/>
    </row>
    <row r="219" spans="1:63" ht="23.25" customHeight="1" thickBot="1" x14ac:dyDescent="0.25">
      <c r="A219" s="7">
        <v>218</v>
      </c>
      <c r="B219" s="221"/>
      <c r="C219" s="221"/>
      <c r="D219" s="223"/>
      <c r="E219" s="54" t="s">
        <v>318</v>
      </c>
      <c r="F219" s="16">
        <v>80.714285714285722</v>
      </c>
      <c r="G219" s="8">
        <v>12.142857142857142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17">
        <v>0</v>
      </c>
      <c r="T219" s="8">
        <v>7.1428571428571423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0</v>
      </c>
      <c r="AA219" s="8">
        <v>0</v>
      </c>
      <c r="AB219" s="8">
        <v>0</v>
      </c>
      <c r="AC219" s="8">
        <v>0</v>
      </c>
      <c r="AD219" s="14">
        <f t="shared" si="23"/>
        <v>100</v>
      </c>
      <c r="AE219" s="8">
        <v>0</v>
      </c>
      <c r="AF219" s="8">
        <v>0</v>
      </c>
      <c r="AG219" s="8">
        <v>0</v>
      </c>
      <c r="AH219" s="8">
        <v>0</v>
      </c>
      <c r="AI219" s="39" t="s">
        <v>1531</v>
      </c>
      <c r="AJ219" s="7">
        <v>960</v>
      </c>
      <c r="AK219" s="62">
        <v>1323</v>
      </c>
      <c r="AL219" s="158"/>
      <c r="AM219" s="85"/>
      <c r="AN219" s="85"/>
      <c r="AO219" s="85"/>
      <c r="AP219" s="85"/>
      <c r="AQ219" s="85"/>
      <c r="AR219" s="85"/>
      <c r="AS219" s="85"/>
      <c r="AT219" s="205"/>
      <c r="AU219" s="85"/>
      <c r="AV219" s="196"/>
      <c r="AW219" s="85"/>
      <c r="AX219" s="85"/>
      <c r="AY219" s="39"/>
      <c r="AZ219" s="7"/>
      <c r="BA219" s="62"/>
      <c r="BB219" s="7">
        <v>5</v>
      </c>
      <c r="BC219" s="75">
        <v>17.5</v>
      </c>
      <c r="BD219" s="75">
        <v>211.9</v>
      </c>
      <c r="BE219" s="75">
        <v>23.7</v>
      </c>
      <c r="BF219" s="39"/>
      <c r="BG219" s="7"/>
      <c r="BH219" s="62"/>
      <c r="BI219" s="7"/>
      <c r="BJ219" s="32"/>
      <c r="BK219" s="256"/>
    </row>
    <row r="220" spans="1:63" ht="23.25" customHeight="1" thickBot="1" x14ac:dyDescent="0.25">
      <c r="A220" s="62">
        <v>219</v>
      </c>
      <c r="B220" s="221"/>
      <c r="C220" s="221"/>
      <c r="D220" s="223"/>
      <c r="E220" s="54" t="s">
        <v>268</v>
      </c>
      <c r="F220" s="16">
        <v>80</v>
      </c>
      <c r="G220" s="8">
        <v>12.857142857142859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17">
        <v>0</v>
      </c>
      <c r="T220" s="8">
        <v>7.1428571428571423</v>
      </c>
      <c r="U220" s="8">
        <v>0</v>
      </c>
      <c r="V220" s="8">
        <v>0</v>
      </c>
      <c r="W220" s="8">
        <v>0</v>
      </c>
      <c r="X220" s="8">
        <v>0</v>
      </c>
      <c r="Y220" s="8">
        <v>0</v>
      </c>
      <c r="Z220" s="8">
        <v>0</v>
      </c>
      <c r="AA220" s="8">
        <v>0</v>
      </c>
      <c r="AB220" s="8">
        <v>0</v>
      </c>
      <c r="AC220" s="8">
        <v>0</v>
      </c>
      <c r="AD220" s="14">
        <f t="shared" si="23"/>
        <v>100</v>
      </c>
      <c r="AE220" s="8">
        <v>0</v>
      </c>
      <c r="AF220" s="8">
        <v>0</v>
      </c>
      <c r="AG220" s="8">
        <v>0</v>
      </c>
      <c r="AH220" s="8">
        <v>0</v>
      </c>
      <c r="AI220" s="39" t="s">
        <v>1531</v>
      </c>
      <c r="AJ220" s="7">
        <v>960</v>
      </c>
      <c r="AK220" s="62">
        <v>1323</v>
      </c>
      <c r="AL220" s="158"/>
      <c r="AM220" s="85"/>
      <c r="AN220" s="85"/>
      <c r="AO220" s="85"/>
      <c r="AP220" s="85"/>
      <c r="AQ220" s="85"/>
      <c r="AR220" s="85"/>
      <c r="AS220" s="85"/>
      <c r="AT220" s="205"/>
      <c r="AU220" s="85"/>
      <c r="AV220" s="196"/>
      <c r="AW220" s="85"/>
      <c r="AX220" s="85"/>
      <c r="AY220" s="39"/>
      <c r="AZ220" s="7"/>
      <c r="BA220" s="62"/>
      <c r="BB220" s="7">
        <v>5</v>
      </c>
      <c r="BC220" s="75">
        <v>13.7</v>
      </c>
      <c r="BD220" s="75">
        <v>216.5</v>
      </c>
      <c r="BE220" s="75">
        <v>28.3</v>
      </c>
      <c r="BF220" s="39"/>
      <c r="BG220" s="7"/>
      <c r="BH220" s="62"/>
      <c r="BI220" s="7"/>
      <c r="BJ220" s="32"/>
      <c r="BK220" s="256"/>
    </row>
    <row r="221" spans="1:63" ht="23.25" customHeight="1" thickBot="1" x14ac:dyDescent="0.25">
      <c r="A221" s="7">
        <v>220</v>
      </c>
      <c r="B221" s="221"/>
      <c r="C221" s="221"/>
      <c r="D221" s="223"/>
      <c r="E221" s="54" t="s">
        <v>323</v>
      </c>
      <c r="F221" s="16">
        <v>77.142857142857153</v>
      </c>
      <c r="G221" s="8">
        <v>15.714285714285717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17">
        <v>0</v>
      </c>
      <c r="T221" s="8">
        <v>7.1428571428571423</v>
      </c>
      <c r="U221" s="8">
        <v>0</v>
      </c>
      <c r="V221" s="8">
        <v>0</v>
      </c>
      <c r="W221" s="8">
        <v>0</v>
      </c>
      <c r="X221" s="8">
        <v>0</v>
      </c>
      <c r="Y221" s="8">
        <v>0</v>
      </c>
      <c r="Z221" s="8">
        <v>0</v>
      </c>
      <c r="AA221" s="8">
        <v>0</v>
      </c>
      <c r="AB221" s="8">
        <v>0</v>
      </c>
      <c r="AC221" s="8">
        <v>0</v>
      </c>
      <c r="AD221" s="14">
        <f t="shared" si="23"/>
        <v>100.00000000000001</v>
      </c>
      <c r="AE221" s="8">
        <v>0</v>
      </c>
      <c r="AF221" s="8">
        <v>0</v>
      </c>
      <c r="AG221" s="8">
        <v>0</v>
      </c>
      <c r="AH221" s="8">
        <v>0</v>
      </c>
      <c r="AI221" s="39" t="s">
        <v>1531</v>
      </c>
      <c r="AJ221" s="7">
        <v>960</v>
      </c>
      <c r="AK221" s="62">
        <v>1323</v>
      </c>
      <c r="AL221" s="158"/>
      <c r="AM221" s="85"/>
      <c r="AN221" s="85"/>
      <c r="AO221" s="85"/>
      <c r="AP221" s="85"/>
      <c r="AQ221" s="85"/>
      <c r="AR221" s="85"/>
      <c r="AS221" s="85"/>
      <c r="AT221" s="205"/>
      <c r="AU221" s="85"/>
      <c r="AV221" s="196"/>
      <c r="AW221" s="85"/>
      <c r="AX221" s="85"/>
      <c r="AY221" s="39"/>
      <c r="AZ221" s="7"/>
      <c r="BA221" s="62"/>
      <c r="BB221" s="7">
        <v>5</v>
      </c>
      <c r="BC221" s="75">
        <v>7.2</v>
      </c>
      <c r="BD221" s="75">
        <v>241.1</v>
      </c>
      <c r="BE221" s="75">
        <v>48.3</v>
      </c>
      <c r="BF221" s="39"/>
      <c r="BG221" s="7"/>
      <c r="BH221" s="62"/>
      <c r="BI221" s="7"/>
      <c r="BJ221" s="32"/>
      <c r="BK221" s="256"/>
    </row>
    <row r="222" spans="1:63" ht="23.25" customHeight="1" thickBot="1" x14ac:dyDescent="0.25">
      <c r="A222" s="62">
        <v>221</v>
      </c>
      <c r="B222" s="221"/>
      <c r="C222" s="221"/>
      <c r="D222" s="223" t="s">
        <v>340</v>
      </c>
      <c r="E222" s="54" t="s">
        <v>348</v>
      </c>
      <c r="F222" s="16">
        <v>82.142857142857139</v>
      </c>
      <c r="G222" s="8">
        <v>10.714285714285714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17">
        <v>0</v>
      </c>
      <c r="T222" s="8">
        <v>3.5714285714285712</v>
      </c>
      <c r="U222" s="8">
        <v>0</v>
      </c>
      <c r="V222" s="8">
        <v>0</v>
      </c>
      <c r="W222" s="8">
        <v>3.5714285714285712</v>
      </c>
      <c r="X222" s="8">
        <v>0</v>
      </c>
      <c r="Y222" s="8">
        <v>0</v>
      </c>
      <c r="Z222" s="8">
        <v>0</v>
      </c>
      <c r="AA222" s="8">
        <v>0</v>
      </c>
      <c r="AB222" s="8">
        <v>0</v>
      </c>
      <c r="AC222" s="8">
        <v>0</v>
      </c>
      <c r="AD222" s="14">
        <f t="shared" si="23"/>
        <v>99.999999999999986</v>
      </c>
      <c r="AE222" s="8">
        <v>0</v>
      </c>
      <c r="AF222" s="8">
        <v>0</v>
      </c>
      <c r="AG222" s="8">
        <v>0</v>
      </c>
      <c r="AH222" s="8">
        <v>0</v>
      </c>
      <c r="AI222" s="39" t="s">
        <v>1531</v>
      </c>
      <c r="AJ222" s="7">
        <v>960</v>
      </c>
      <c r="AK222" s="62">
        <v>1373</v>
      </c>
      <c r="AL222" s="158"/>
      <c r="AM222" s="85"/>
      <c r="AN222" s="85"/>
      <c r="AO222" s="85"/>
      <c r="AP222" s="85"/>
      <c r="AQ222" s="85"/>
      <c r="AR222" s="85"/>
      <c r="AS222" s="85"/>
      <c r="AT222" s="205"/>
      <c r="AU222" s="85"/>
      <c r="AV222" s="196"/>
      <c r="AW222" s="85"/>
      <c r="AX222" s="85"/>
      <c r="AY222" s="39"/>
      <c r="AZ222" s="7"/>
      <c r="BA222" s="62"/>
      <c r="BB222" s="7">
        <v>5</v>
      </c>
      <c r="BC222" s="75">
        <v>28</v>
      </c>
      <c r="BD222" s="75">
        <v>189.2</v>
      </c>
      <c r="BE222" s="75">
        <v>19.600000000000001</v>
      </c>
      <c r="BF222" s="39"/>
      <c r="BG222" s="7"/>
      <c r="BH222" s="62"/>
      <c r="BI222" s="7"/>
      <c r="BJ222" s="32"/>
      <c r="BK222" s="256"/>
    </row>
    <row r="223" spans="1:63" ht="23.25" customHeight="1" thickBot="1" x14ac:dyDescent="0.25">
      <c r="A223" s="7">
        <v>222</v>
      </c>
      <c r="B223" s="221"/>
      <c r="C223" s="221"/>
      <c r="D223" s="223"/>
      <c r="E223" s="54" t="s">
        <v>347</v>
      </c>
      <c r="F223" s="16">
        <v>82.142857142857139</v>
      </c>
      <c r="G223" s="8">
        <v>10.714285714285714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17">
        <v>0</v>
      </c>
      <c r="T223" s="8">
        <v>7.1428571428571423</v>
      </c>
      <c r="U223" s="8">
        <v>0</v>
      </c>
      <c r="V223" s="8">
        <v>0</v>
      </c>
      <c r="W223" s="8">
        <v>0</v>
      </c>
      <c r="X223" s="8">
        <v>0</v>
      </c>
      <c r="Y223" s="8">
        <v>0</v>
      </c>
      <c r="Z223" s="8">
        <v>0</v>
      </c>
      <c r="AA223" s="8">
        <v>0</v>
      </c>
      <c r="AB223" s="8">
        <v>0</v>
      </c>
      <c r="AC223" s="8">
        <v>0</v>
      </c>
      <c r="AD223" s="14">
        <f t="shared" si="23"/>
        <v>99.999999999999986</v>
      </c>
      <c r="AE223" s="8">
        <v>0</v>
      </c>
      <c r="AF223" s="8">
        <v>0</v>
      </c>
      <c r="AG223" s="8">
        <v>0</v>
      </c>
      <c r="AH223" s="8">
        <v>0</v>
      </c>
      <c r="AI223" s="39" t="s">
        <v>1531</v>
      </c>
      <c r="AJ223" s="7">
        <v>960</v>
      </c>
      <c r="AK223" s="62">
        <v>1373</v>
      </c>
      <c r="AL223" s="158"/>
      <c r="AM223" s="85"/>
      <c r="AN223" s="85"/>
      <c r="AO223" s="85"/>
      <c r="AP223" s="85"/>
      <c r="AQ223" s="85"/>
      <c r="AR223" s="85"/>
      <c r="AS223" s="85"/>
      <c r="AT223" s="205"/>
      <c r="AU223" s="85"/>
      <c r="AV223" s="196"/>
      <c r="AW223" s="85"/>
      <c r="AX223" s="85"/>
      <c r="AY223" s="39"/>
      <c r="AZ223" s="7"/>
      <c r="BA223" s="62"/>
      <c r="BB223" s="7">
        <v>5</v>
      </c>
      <c r="BC223" s="75">
        <v>22.5</v>
      </c>
      <c r="BD223" s="75">
        <v>201.6</v>
      </c>
      <c r="BE223" s="75">
        <v>20.6</v>
      </c>
      <c r="BF223" s="39"/>
      <c r="BG223" s="7"/>
      <c r="BH223" s="62"/>
      <c r="BI223" s="7"/>
      <c r="BJ223" s="32"/>
      <c r="BK223" s="256"/>
    </row>
    <row r="224" spans="1:63" ht="23.25" customHeight="1" thickBot="1" x14ac:dyDescent="0.25">
      <c r="A224" s="62">
        <v>223</v>
      </c>
      <c r="B224" s="221"/>
      <c r="C224" s="221"/>
      <c r="D224" s="223"/>
      <c r="E224" s="54" t="s">
        <v>346</v>
      </c>
      <c r="F224" s="16">
        <v>80</v>
      </c>
      <c r="G224" s="8">
        <v>12.857142857142859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17">
        <v>0</v>
      </c>
      <c r="T224" s="8">
        <v>5</v>
      </c>
      <c r="U224" s="8">
        <v>0</v>
      </c>
      <c r="V224" s="8">
        <v>0</v>
      </c>
      <c r="W224" s="8">
        <v>2.1428571428571428</v>
      </c>
      <c r="X224" s="8">
        <v>0</v>
      </c>
      <c r="Y224" s="8">
        <v>0</v>
      </c>
      <c r="Z224" s="8">
        <v>0</v>
      </c>
      <c r="AA224" s="8">
        <v>0</v>
      </c>
      <c r="AB224" s="8">
        <v>0</v>
      </c>
      <c r="AC224" s="8">
        <v>0</v>
      </c>
      <c r="AD224" s="14">
        <f t="shared" si="23"/>
        <v>100</v>
      </c>
      <c r="AE224" s="8">
        <v>0</v>
      </c>
      <c r="AF224" s="8">
        <v>0</v>
      </c>
      <c r="AG224" s="8">
        <v>0</v>
      </c>
      <c r="AH224" s="8">
        <v>0</v>
      </c>
      <c r="AI224" s="39" t="s">
        <v>1531</v>
      </c>
      <c r="AJ224" s="7">
        <v>960</v>
      </c>
      <c r="AK224" s="62">
        <v>1373</v>
      </c>
      <c r="AL224" s="158"/>
      <c r="AM224" s="85"/>
      <c r="AN224" s="85"/>
      <c r="AO224" s="85"/>
      <c r="AP224" s="85"/>
      <c r="AQ224" s="85"/>
      <c r="AR224" s="85"/>
      <c r="AS224" s="85"/>
      <c r="AT224" s="205"/>
      <c r="AU224" s="85"/>
      <c r="AV224" s="196"/>
      <c r="AW224" s="85"/>
      <c r="AX224" s="85"/>
      <c r="AY224" s="39"/>
      <c r="AZ224" s="7"/>
      <c r="BA224" s="62"/>
      <c r="BB224" s="7">
        <v>5</v>
      </c>
      <c r="BC224" s="75">
        <v>19.3</v>
      </c>
      <c r="BD224" s="75">
        <v>206.5</v>
      </c>
      <c r="BE224" s="75">
        <v>23.1</v>
      </c>
      <c r="BF224" s="39"/>
      <c r="BG224" s="7"/>
      <c r="BH224" s="62"/>
      <c r="BI224" s="7"/>
      <c r="BJ224" s="32"/>
      <c r="BK224" s="256"/>
    </row>
    <row r="225" spans="1:63" ht="23.25" customHeight="1" thickBot="1" x14ac:dyDescent="0.25">
      <c r="A225" s="7">
        <v>224</v>
      </c>
      <c r="B225" s="221"/>
      <c r="C225" s="221"/>
      <c r="D225" s="223"/>
      <c r="E225" s="54" t="s">
        <v>345</v>
      </c>
      <c r="F225" s="16">
        <v>80</v>
      </c>
      <c r="G225" s="8">
        <v>12.857142857142859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17">
        <v>0</v>
      </c>
      <c r="T225" s="8">
        <v>7.1428571428571423</v>
      </c>
      <c r="U225" s="8">
        <v>0</v>
      </c>
      <c r="V225" s="8">
        <v>0</v>
      </c>
      <c r="W225" s="8">
        <v>0</v>
      </c>
      <c r="X225" s="8">
        <v>0</v>
      </c>
      <c r="Y225" s="8">
        <v>0</v>
      </c>
      <c r="Z225" s="8">
        <v>0</v>
      </c>
      <c r="AA225" s="8">
        <v>0</v>
      </c>
      <c r="AB225" s="8">
        <v>0</v>
      </c>
      <c r="AC225" s="8">
        <v>0</v>
      </c>
      <c r="AD225" s="14">
        <f t="shared" si="23"/>
        <v>100</v>
      </c>
      <c r="AE225" s="8">
        <v>0</v>
      </c>
      <c r="AF225" s="8">
        <v>0</v>
      </c>
      <c r="AG225" s="8">
        <v>0</v>
      </c>
      <c r="AH225" s="8">
        <v>0</v>
      </c>
      <c r="AI225" s="39" t="s">
        <v>1531</v>
      </c>
      <c r="AJ225" s="7">
        <v>960</v>
      </c>
      <c r="AK225" s="62">
        <v>1373</v>
      </c>
      <c r="AL225" s="158"/>
      <c r="AM225" s="85"/>
      <c r="AN225" s="85"/>
      <c r="AO225" s="85"/>
      <c r="AP225" s="85"/>
      <c r="AQ225" s="85"/>
      <c r="AR225" s="85"/>
      <c r="AS225" s="85"/>
      <c r="AT225" s="205"/>
      <c r="AU225" s="85"/>
      <c r="AV225" s="196"/>
      <c r="AW225" s="85"/>
      <c r="AX225" s="85"/>
      <c r="AY225" s="39"/>
      <c r="AZ225" s="7"/>
      <c r="BA225" s="62"/>
      <c r="BB225" s="7">
        <v>5</v>
      </c>
      <c r="BC225" s="75">
        <v>12.1</v>
      </c>
      <c r="BD225" s="75">
        <v>218.7</v>
      </c>
      <c r="BE225" s="75">
        <v>24</v>
      </c>
      <c r="BF225" s="39"/>
      <c r="BG225" s="7"/>
      <c r="BH225" s="62"/>
      <c r="BI225" s="7"/>
      <c r="BJ225" s="32"/>
      <c r="BK225" s="256"/>
    </row>
    <row r="226" spans="1:63" ht="23.25" customHeight="1" thickBot="1" x14ac:dyDescent="0.25">
      <c r="A226" s="62">
        <v>225</v>
      </c>
      <c r="B226" s="221"/>
      <c r="C226" s="221"/>
      <c r="D226" s="223" t="s">
        <v>341</v>
      </c>
      <c r="E226" s="54" t="s">
        <v>302</v>
      </c>
      <c r="F226" s="16">
        <v>83.571428571428569</v>
      </c>
      <c r="G226" s="8">
        <v>9.2857142857142865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17">
        <v>0</v>
      </c>
      <c r="T226" s="8">
        <v>5.7142857142857144</v>
      </c>
      <c r="U226" s="8">
        <v>0</v>
      </c>
      <c r="V226" s="8">
        <v>1.4285714285714286</v>
      </c>
      <c r="W226" s="8">
        <v>0</v>
      </c>
      <c r="X226" s="8">
        <v>0</v>
      </c>
      <c r="Y226" s="8">
        <v>0</v>
      </c>
      <c r="Z226" s="8">
        <v>0</v>
      </c>
      <c r="AA226" s="8">
        <v>0</v>
      </c>
      <c r="AB226" s="8">
        <v>0</v>
      </c>
      <c r="AC226" s="8">
        <v>0</v>
      </c>
      <c r="AD226" s="14">
        <f t="shared" si="23"/>
        <v>100</v>
      </c>
      <c r="AE226" s="8">
        <v>0</v>
      </c>
      <c r="AF226" s="8">
        <v>0</v>
      </c>
      <c r="AG226" s="8">
        <v>0</v>
      </c>
      <c r="AH226" s="8">
        <v>0</v>
      </c>
      <c r="AI226" s="39" t="s">
        <v>1531</v>
      </c>
      <c r="AJ226" s="7">
        <v>960</v>
      </c>
      <c r="AK226" s="62">
        <v>1373</v>
      </c>
      <c r="AL226" s="158"/>
      <c r="AM226" s="85"/>
      <c r="AN226" s="85"/>
      <c r="AO226" s="85"/>
      <c r="AP226" s="85"/>
      <c r="AQ226" s="85"/>
      <c r="AR226" s="85"/>
      <c r="AS226" s="85"/>
      <c r="AT226" s="205"/>
      <c r="AU226" s="85"/>
      <c r="AV226" s="196"/>
      <c r="AW226" s="85"/>
      <c r="AX226" s="85"/>
      <c r="AY226" s="39"/>
      <c r="AZ226" s="7"/>
      <c r="BA226" s="62"/>
      <c r="BB226" s="7">
        <v>5</v>
      </c>
      <c r="BC226" s="75">
        <v>32.9</v>
      </c>
      <c r="BD226" s="75">
        <v>180.3</v>
      </c>
      <c r="BE226" s="75">
        <v>15.5</v>
      </c>
      <c r="BF226" s="39"/>
      <c r="BG226" s="7"/>
      <c r="BH226" s="62"/>
      <c r="BI226" s="7"/>
      <c r="BJ226" s="32"/>
      <c r="BK226" s="256"/>
    </row>
    <row r="227" spans="1:63" ht="23.25" customHeight="1" thickBot="1" x14ac:dyDescent="0.25">
      <c r="A227" s="7">
        <v>226</v>
      </c>
      <c r="B227" s="221"/>
      <c r="C227" s="221"/>
      <c r="D227" s="223"/>
      <c r="E227" s="54" t="s">
        <v>349</v>
      </c>
      <c r="F227" s="16">
        <v>80.714285714285708</v>
      </c>
      <c r="G227" s="8">
        <v>9.2857142857142865</v>
      </c>
      <c r="H227" s="8">
        <v>0</v>
      </c>
      <c r="I227" s="8">
        <v>0</v>
      </c>
      <c r="J227" s="8">
        <v>2.8571428571428572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17">
        <v>0</v>
      </c>
      <c r="T227" s="8">
        <v>5.7142857142857144</v>
      </c>
      <c r="U227" s="8">
        <v>0</v>
      </c>
      <c r="V227" s="8">
        <v>1.4285714285714286</v>
      </c>
      <c r="W227" s="8">
        <v>0</v>
      </c>
      <c r="X227" s="8">
        <v>0</v>
      </c>
      <c r="Y227" s="8">
        <v>0</v>
      </c>
      <c r="Z227" s="8">
        <v>0</v>
      </c>
      <c r="AA227" s="8">
        <v>0</v>
      </c>
      <c r="AB227" s="8">
        <v>0</v>
      </c>
      <c r="AC227" s="8">
        <v>0</v>
      </c>
      <c r="AD227" s="14">
        <f t="shared" si="23"/>
        <v>100</v>
      </c>
      <c r="AE227" s="8">
        <v>0</v>
      </c>
      <c r="AF227" s="8">
        <v>0</v>
      </c>
      <c r="AG227" s="8">
        <v>0</v>
      </c>
      <c r="AH227" s="8">
        <v>0</v>
      </c>
      <c r="AI227" s="39" t="s">
        <v>1531</v>
      </c>
      <c r="AJ227" s="7">
        <v>960</v>
      </c>
      <c r="AK227" s="62">
        <v>1373</v>
      </c>
      <c r="AL227" s="158"/>
      <c r="AM227" s="85"/>
      <c r="AN227" s="85"/>
      <c r="AO227" s="85"/>
      <c r="AP227" s="85"/>
      <c r="AQ227" s="85"/>
      <c r="AR227" s="85"/>
      <c r="AS227" s="85"/>
      <c r="AT227" s="205"/>
      <c r="AU227" s="85"/>
      <c r="AV227" s="196"/>
      <c r="AW227" s="85"/>
      <c r="AX227" s="85"/>
      <c r="AY227" s="39"/>
      <c r="AZ227" s="7"/>
      <c r="BA227" s="62"/>
      <c r="BB227" s="7">
        <v>5</v>
      </c>
      <c r="BC227" s="75">
        <v>26</v>
      </c>
      <c r="BD227" s="75">
        <v>226.9</v>
      </c>
      <c r="BE227" s="75">
        <v>19.3</v>
      </c>
      <c r="BF227" s="39"/>
      <c r="BG227" s="7"/>
      <c r="BH227" s="62"/>
      <c r="BI227" s="7"/>
      <c r="BJ227" s="32"/>
      <c r="BK227" s="256"/>
    </row>
    <row r="228" spans="1:63" ht="23.25" customHeight="1" thickBot="1" x14ac:dyDescent="0.25">
      <c r="A228" s="62">
        <v>227</v>
      </c>
      <c r="B228" s="221"/>
      <c r="C228" s="221"/>
      <c r="D228" s="223"/>
      <c r="E228" s="54" t="s">
        <v>350</v>
      </c>
      <c r="F228" s="16">
        <v>79.285714285714278</v>
      </c>
      <c r="G228" s="8">
        <v>9.2857142857142865</v>
      </c>
      <c r="H228" s="8">
        <v>0</v>
      </c>
      <c r="I228" s="8">
        <v>0</v>
      </c>
      <c r="J228" s="8">
        <v>4.2857142857142856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17">
        <v>0</v>
      </c>
      <c r="T228" s="8">
        <v>5.7142857142857144</v>
      </c>
      <c r="U228" s="8">
        <v>0</v>
      </c>
      <c r="V228" s="8">
        <v>1.4285714285714286</v>
      </c>
      <c r="W228" s="8">
        <v>0</v>
      </c>
      <c r="X228" s="8">
        <v>0</v>
      </c>
      <c r="Y228" s="8">
        <v>0</v>
      </c>
      <c r="Z228" s="8">
        <v>0</v>
      </c>
      <c r="AA228" s="8">
        <v>0</v>
      </c>
      <c r="AB228" s="8">
        <v>0</v>
      </c>
      <c r="AC228" s="8">
        <v>0</v>
      </c>
      <c r="AD228" s="14">
        <f t="shared" si="23"/>
        <v>100</v>
      </c>
      <c r="AE228" s="8">
        <v>0</v>
      </c>
      <c r="AF228" s="8">
        <v>0</v>
      </c>
      <c r="AG228" s="8">
        <v>0</v>
      </c>
      <c r="AH228" s="8">
        <v>0</v>
      </c>
      <c r="AI228" s="39" t="s">
        <v>1531</v>
      </c>
      <c r="AJ228" s="7">
        <v>960</v>
      </c>
      <c r="AK228" s="62">
        <v>1373</v>
      </c>
      <c r="AL228" s="158"/>
      <c r="AM228" s="85"/>
      <c r="AN228" s="85"/>
      <c r="AO228" s="85"/>
      <c r="AP228" s="85"/>
      <c r="AQ228" s="85"/>
      <c r="AR228" s="85"/>
      <c r="AS228" s="85"/>
      <c r="AT228" s="205"/>
      <c r="AU228" s="85"/>
      <c r="AV228" s="196"/>
      <c r="AW228" s="85"/>
      <c r="AX228" s="85"/>
      <c r="AY228" s="39"/>
      <c r="AZ228" s="7"/>
      <c r="BA228" s="62"/>
      <c r="BB228" s="7">
        <v>5</v>
      </c>
      <c r="BC228" s="75">
        <v>22</v>
      </c>
      <c r="BD228" s="75">
        <v>248.4</v>
      </c>
      <c r="BE228" s="75">
        <v>21.5</v>
      </c>
      <c r="BF228" s="39"/>
      <c r="BG228" s="7"/>
      <c r="BH228" s="62"/>
      <c r="BI228" s="7"/>
      <c r="BJ228" s="32"/>
      <c r="BK228" s="256"/>
    </row>
    <row r="229" spans="1:63" ht="23.25" customHeight="1" thickBot="1" x14ac:dyDescent="0.25">
      <c r="A229" s="7">
        <v>228</v>
      </c>
      <c r="B229" s="221"/>
      <c r="C229" s="221"/>
      <c r="D229" s="223"/>
      <c r="E229" s="54" t="s">
        <v>351</v>
      </c>
      <c r="F229" s="16">
        <v>77.857142857142847</v>
      </c>
      <c r="G229" s="8">
        <v>9.2857142857142865</v>
      </c>
      <c r="H229" s="8">
        <v>0</v>
      </c>
      <c r="I229" s="8">
        <v>0</v>
      </c>
      <c r="J229" s="8">
        <v>5.7142857142857144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17">
        <v>0</v>
      </c>
      <c r="T229" s="8">
        <v>5.7142857142857144</v>
      </c>
      <c r="U229" s="8">
        <v>0</v>
      </c>
      <c r="V229" s="8">
        <v>1.4285714285714286</v>
      </c>
      <c r="W229" s="8">
        <v>0</v>
      </c>
      <c r="X229" s="8">
        <v>0</v>
      </c>
      <c r="Y229" s="8">
        <v>0</v>
      </c>
      <c r="Z229" s="8">
        <v>0</v>
      </c>
      <c r="AA229" s="8">
        <v>0</v>
      </c>
      <c r="AB229" s="8">
        <v>0</v>
      </c>
      <c r="AC229" s="8">
        <v>0</v>
      </c>
      <c r="AD229" s="14">
        <f t="shared" si="23"/>
        <v>99.999999999999986</v>
      </c>
      <c r="AE229" s="8">
        <v>0</v>
      </c>
      <c r="AF229" s="8">
        <v>0</v>
      </c>
      <c r="AG229" s="8">
        <v>0</v>
      </c>
      <c r="AH229" s="8">
        <v>0</v>
      </c>
      <c r="AI229" s="39" t="s">
        <v>1531</v>
      </c>
      <c r="AJ229" s="7">
        <v>960</v>
      </c>
      <c r="AK229" s="62">
        <v>1373</v>
      </c>
      <c r="AL229" s="158"/>
      <c r="AM229" s="85"/>
      <c r="AN229" s="85"/>
      <c r="AO229" s="85"/>
      <c r="AP229" s="85"/>
      <c r="AQ229" s="85"/>
      <c r="AR229" s="85"/>
      <c r="AS229" s="85"/>
      <c r="AT229" s="205"/>
      <c r="AU229" s="85"/>
      <c r="AV229" s="196"/>
      <c r="AW229" s="85"/>
      <c r="AX229" s="85"/>
      <c r="AY229" s="39"/>
      <c r="AZ229" s="7"/>
      <c r="BA229" s="62"/>
      <c r="BB229" s="7">
        <v>5</v>
      </c>
      <c r="BC229" s="75">
        <v>15.3</v>
      </c>
      <c r="BD229" s="75">
        <v>269.89999999999998</v>
      </c>
      <c r="BE229" s="75">
        <v>26.5</v>
      </c>
      <c r="BF229" s="39"/>
      <c r="BG229" s="7"/>
      <c r="BH229" s="62"/>
      <c r="BI229" s="7"/>
      <c r="BJ229" s="32"/>
      <c r="BK229" s="256"/>
    </row>
    <row r="230" spans="1:63" ht="23.25" customHeight="1" thickBot="1" x14ac:dyDescent="0.25">
      <c r="A230" s="62">
        <v>229</v>
      </c>
      <c r="B230" s="221"/>
      <c r="C230" s="221"/>
      <c r="D230" s="223"/>
      <c r="E230" s="54" t="s">
        <v>352</v>
      </c>
      <c r="F230" s="16">
        <v>76.428571428571416</v>
      </c>
      <c r="G230" s="8">
        <v>9.2857142857142865</v>
      </c>
      <c r="H230" s="8">
        <v>0</v>
      </c>
      <c r="I230" s="8">
        <v>0</v>
      </c>
      <c r="J230" s="8">
        <v>7.1428571428571423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17">
        <v>0</v>
      </c>
      <c r="T230" s="8">
        <v>5.7142857142857144</v>
      </c>
      <c r="U230" s="8">
        <v>0</v>
      </c>
      <c r="V230" s="8">
        <v>1.4285714285714286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  <c r="AD230" s="14">
        <f t="shared" si="23"/>
        <v>99.999999999999986</v>
      </c>
      <c r="AE230" s="8">
        <v>0</v>
      </c>
      <c r="AF230" s="8">
        <v>0</v>
      </c>
      <c r="AG230" s="8">
        <v>0</v>
      </c>
      <c r="AH230" s="8">
        <v>0</v>
      </c>
      <c r="AI230" s="39" t="s">
        <v>1531</v>
      </c>
      <c r="AJ230" s="7">
        <v>960</v>
      </c>
      <c r="AK230" s="62">
        <v>1373</v>
      </c>
      <c r="AL230" s="158"/>
      <c r="AM230" s="85"/>
      <c r="AN230" s="85"/>
      <c r="AO230" s="85"/>
      <c r="AP230" s="85"/>
      <c r="AQ230" s="85"/>
      <c r="AR230" s="85"/>
      <c r="AS230" s="85"/>
      <c r="AT230" s="205"/>
      <c r="AU230" s="85"/>
      <c r="AV230" s="196"/>
      <c r="AW230" s="85"/>
      <c r="AX230" s="85"/>
      <c r="AY230" s="39"/>
      <c r="AZ230" s="7"/>
      <c r="BA230" s="62"/>
      <c r="BB230" s="7">
        <v>5</v>
      </c>
      <c r="BC230" s="75">
        <v>15</v>
      </c>
      <c r="BD230" s="75">
        <v>290.89999999999998</v>
      </c>
      <c r="BE230" s="75">
        <v>29.9</v>
      </c>
      <c r="BF230" s="39"/>
      <c r="BG230" s="7"/>
      <c r="BH230" s="62"/>
      <c r="BI230" s="7"/>
      <c r="BJ230" s="32"/>
      <c r="BK230" s="256"/>
    </row>
    <row r="231" spans="1:63" ht="23.25" customHeight="1" thickBot="1" x14ac:dyDescent="0.25">
      <c r="A231" s="7">
        <v>230</v>
      </c>
      <c r="B231" s="221"/>
      <c r="C231" s="221"/>
      <c r="D231" s="224"/>
      <c r="E231" s="54" t="s">
        <v>353</v>
      </c>
      <c r="F231" s="16">
        <v>75</v>
      </c>
      <c r="G231" s="8">
        <v>9.2857142857142865</v>
      </c>
      <c r="H231" s="8">
        <v>0</v>
      </c>
      <c r="I231" s="8">
        <v>0</v>
      </c>
      <c r="J231" s="8">
        <v>8.5714285714285712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17">
        <v>0</v>
      </c>
      <c r="T231" s="8">
        <v>5.7142857142857144</v>
      </c>
      <c r="U231" s="8">
        <v>0</v>
      </c>
      <c r="V231" s="8">
        <v>1.4285714285714286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0</v>
      </c>
      <c r="AD231" s="14">
        <f t="shared" si="23"/>
        <v>100</v>
      </c>
      <c r="AE231" s="8">
        <v>0</v>
      </c>
      <c r="AF231" s="8">
        <v>0</v>
      </c>
      <c r="AG231" s="8">
        <v>0</v>
      </c>
      <c r="AH231" s="8">
        <v>0</v>
      </c>
      <c r="AI231" s="39" t="s">
        <v>1531</v>
      </c>
      <c r="AJ231" s="7">
        <v>960</v>
      </c>
      <c r="AK231" s="62">
        <v>1373</v>
      </c>
      <c r="AL231" s="158"/>
      <c r="AM231" s="85"/>
      <c r="AN231" s="85"/>
      <c r="AO231" s="85"/>
      <c r="AP231" s="85"/>
      <c r="AQ231" s="85"/>
      <c r="AR231" s="85"/>
      <c r="AS231" s="85"/>
      <c r="AT231" s="205"/>
      <c r="AU231" s="85"/>
      <c r="AV231" s="196"/>
      <c r="AW231" s="85"/>
      <c r="AX231" s="85"/>
      <c r="AY231" s="39"/>
      <c r="AZ231" s="7"/>
      <c r="BA231" s="62"/>
      <c r="BB231" s="7">
        <v>5</v>
      </c>
      <c r="BC231" s="75">
        <v>13.1</v>
      </c>
      <c r="BD231" s="75">
        <v>313.7</v>
      </c>
      <c r="BE231" s="75">
        <v>43.1</v>
      </c>
      <c r="BF231" s="39"/>
      <c r="BG231" s="7"/>
      <c r="BH231" s="62"/>
      <c r="BI231" s="7"/>
      <c r="BJ231" s="32"/>
      <c r="BK231" s="256"/>
    </row>
    <row r="232" spans="1:63" s="4" customFormat="1" ht="23.25" customHeight="1" thickBot="1" x14ac:dyDescent="0.25">
      <c r="A232" s="62">
        <v>231</v>
      </c>
      <c r="B232" s="238">
        <v>84</v>
      </c>
      <c r="C232" s="238" t="s">
        <v>1559</v>
      </c>
      <c r="D232" s="225" t="s">
        <v>71</v>
      </c>
      <c r="E232" s="12"/>
      <c r="F232" s="87">
        <v>82.642857142857139</v>
      </c>
      <c r="G232" s="88">
        <v>10.214285714285714</v>
      </c>
      <c r="H232" s="88">
        <v>0</v>
      </c>
      <c r="I232" s="88">
        <v>0</v>
      </c>
      <c r="J232" s="88">
        <v>0</v>
      </c>
      <c r="K232" s="88">
        <v>0</v>
      </c>
      <c r="L232" s="88">
        <v>0</v>
      </c>
      <c r="M232" s="88">
        <v>0</v>
      </c>
      <c r="N232" s="88">
        <v>0</v>
      </c>
      <c r="O232" s="88">
        <v>0</v>
      </c>
      <c r="P232" s="88">
        <v>0</v>
      </c>
      <c r="Q232" s="88">
        <v>0</v>
      </c>
      <c r="R232" s="88">
        <v>0</v>
      </c>
      <c r="S232" s="89">
        <v>0</v>
      </c>
      <c r="T232" s="88">
        <v>7.1428571428571423</v>
      </c>
      <c r="U232" s="88">
        <v>0</v>
      </c>
      <c r="V232" s="88">
        <v>0</v>
      </c>
      <c r="W232" s="88">
        <v>0</v>
      </c>
      <c r="X232" s="88">
        <v>0</v>
      </c>
      <c r="Y232" s="88">
        <v>0</v>
      </c>
      <c r="Z232" s="88">
        <v>0</v>
      </c>
      <c r="AA232" s="88">
        <v>0</v>
      </c>
      <c r="AB232" s="88">
        <v>0</v>
      </c>
      <c r="AC232" s="88">
        <v>0</v>
      </c>
      <c r="AD232" s="90">
        <f t="shared" si="23"/>
        <v>99.999999999999986</v>
      </c>
      <c r="AE232" s="88">
        <v>0</v>
      </c>
      <c r="AF232" s="88">
        <v>0</v>
      </c>
      <c r="AG232" s="88">
        <v>0</v>
      </c>
      <c r="AH232" s="88">
        <v>0</v>
      </c>
      <c r="AI232" s="156" t="s">
        <v>1531</v>
      </c>
      <c r="AJ232" s="45">
        <v>25</v>
      </c>
      <c r="AK232" s="91">
        <v>1323</v>
      </c>
      <c r="AL232" s="209">
        <f>58.7/107.9*100</f>
        <v>54.402224281742349</v>
      </c>
      <c r="AM232" s="210">
        <f>28.4/107.9*100</f>
        <v>26.320667284522703</v>
      </c>
      <c r="AN232" s="210">
        <f>20.8/107.9*100</f>
        <v>19.277108433734941</v>
      </c>
      <c r="AO232" s="189"/>
      <c r="AP232" s="189"/>
      <c r="AQ232" s="189"/>
      <c r="AR232" s="189"/>
      <c r="AS232" s="189"/>
      <c r="AT232" s="198"/>
      <c r="AU232" s="189">
        <v>1</v>
      </c>
      <c r="AV232" s="199">
        <f t="shared" ref="AV232:AV237" si="24">SUM(AL232:AT232)</f>
        <v>99.999999999999986</v>
      </c>
      <c r="AW232" s="189"/>
      <c r="AX232" s="189"/>
      <c r="AY232" s="156"/>
      <c r="AZ232" s="45"/>
      <c r="BA232" s="91"/>
      <c r="BB232" s="45">
        <v>1</v>
      </c>
      <c r="BC232" s="187">
        <v>16.8</v>
      </c>
      <c r="BD232" s="187">
        <v>187.02554000000001</v>
      </c>
      <c r="BE232" s="187">
        <v>3.9</v>
      </c>
      <c r="BF232" s="156"/>
      <c r="BG232" s="45"/>
      <c r="BH232" s="91"/>
      <c r="BI232" s="45"/>
      <c r="BJ232" s="67"/>
      <c r="BK232" s="256"/>
    </row>
    <row r="233" spans="1:63" ht="23.25" customHeight="1" thickBot="1" x14ac:dyDescent="0.25">
      <c r="A233" s="7">
        <v>232</v>
      </c>
      <c r="B233" s="221"/>
      <c r="C233" s="221"/>
      <c r="D233" s="223"/>
      <c r="E233" s="54"/>
      <c r="F233" s="16">
        <v>82.642857142857139</v>
      </c>
      <c r="G233" s="8">
        <v>10.214285714285714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17">
        <v>0</v>
      </c>
      <c r="T233" s="8">
        <v>7.1428571428571423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14">
        <f t="shared" si="23"/>
        <v>99.999999999999986</v>
      </c>
      <c r="AE233" s="8">
        <v>0</v>
      </c>
      <c r="AF233" s="8">
        <v>0</v>
      </c>
      <c r="AG233" s="8">
        <v>0</v>
      </c>
      <c r="AH233" s="8">
        <v>0</v>
      </c>
      <c r="AI233" s="39" t="s">
        <v>1531</v>
      </c>
      <c r="AJ233" s="7">
        <v>50</v>
      </c>
      <c r="AK233" s="62">
        <v>1323</v>
      </c>
      <c r="AL233" s="158">
        <v>75.400000000000006</v>
      </c>
      <c r="AM233" s="85">
        <v>16</v>
      </c>
      <c r="AN233" s="85">
        <v>8.6</v>
      </c>
      <c r="AO233" s="85"/>
      <c r="AP233" s="85"/>
      <c r="AQ233" s="85"/>
      <c r="AR233" s="85"/>
      <c r="AS233" s="85"/>
      <c r="AT233" s="205"/>
      <c r="AU233" s="85">
        <v>1</v>
      </c>
      <c r="AV233" s="196">
        <f t="shared" si="24"/>
        <v>100</v>
      </c>
      <c r="AW233" s="85"/>
      <c r="AX233" s="85"/>
      <c r="AY233" s="39"/>
      <c r="AZ233" s="7"/>
      <c r="BA233" s="62"/>
      <c r="BB233" s="7">
        <v>1</v>
      </c>
      <c r="BC233" s="75">
        <v>20</v>
      </c>
      <c r="BD233" s="75">
        <v>190</v>
      </c>
      <c r="BE233" s="75">
        <v>3.7</v>
      </c>
      <c r="BF233" s="39"/>
      <c r="BG233" s="7"/>
      <c r="BH233" s="62"/>
      <c r="BI233" s="7"/>
      <c r="BJ233" s="32"/>
      <c r="BK233" s="256"/>
    </row>
    <row r="234" spans="1:63" ht="23.25" customHeight="1" thickBot="1" x14ac:dyDescent="0.25">
      <c r="A234" s="62">
        <v>233</v>
      </c>
      <c r="B234" s="221"/>
      <c r="C234" s="221"/>
      <c r="D234" s="223"/>
      <c r="E234" s="54"/>
      <c r="F234" s="16">
        <v>82.642857142857139</v>
      </c>
      <c r="G234" s="8">
        <v>10.214285714285714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17">
        <v>0</v>
      </c>
      <c r="T234" s="8">
        <v>7.1428571428571423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  <c r="AD234" s="14">
        <f t="shared" si="23"/>
        <v>99.999999999999986</v>
      </c>
      <c r="AE234" s="8">
        <v>0</v>
      </c>
      <c r="AF234" s="8">
        <v>0</v>
      </c>
      <c r="AG234" s="8">
        <v>0</v>
      </c>
      <c r="AH234" s="8">
        <v>0</v>
      </c>
      <c r="AI234" s="39" t="s">
        <v>1531</v>
      </c>
      <c r="AJ234" s="7">
        <v>100</v>
      </c>
      <c r="AK234" s="62">
        <v>1323</v>
      </c>
      <c r="AL234" s="158">
        <v>98.9</v>
      </c>
      <c r="AM234" s="85"/>
      <c r="AN234" s="85">
        <v>1.1000000000000001</v>
      </c>
      <c r="AO234" s="85"/>
      <c r="AP234" s="85"/>
      <c r="AQ234" s="85"/>
      <c r="AR234" s="85"/>
      <c r="AS234" s="85"/>
      <c r="AT234" s="205"/>
      <c r="AU234" s="85">
        <v>1</v>
      </c>
      <c r="AV234" s="196">
        <f t="shared" si="24"/>
        <v>100</v>
      </c>
      <c r="AW234" s="85"/>
      <c r="AX234" s="85"/>
      <c r="AY234" s="39"/>
      <c r="AZ234" s="7"/>
      <c r="BA234" s="62"/>
      <c r="BB234" s="7">
        <v>1</v>
      </c>
      <c r="BC234" s="75">
        <v>23.3</v>
      </c>
      <c r="BD234" s="75">
        <v>192.1</v>
      </c>
      <c r="BE234" s="75">
        <v>4</v>
      </c>
      <c r="BF234" s="39"/>
      <c r="BG234" s="7"/>
      <c r="BH234" s="62"/>
      <c r="BI234" s="7"/>
      <c r="BJ234" s="32"/>
      <c r="BK234" s="256"/>
    </row>
    <row r="235" spans="1:63" ht="23.25" customHeight="1" thickBot="1" x14ac:dyDescent="0.25">
      <c r="A235" s="7">
        <v>234</v>
      </c>
      <c r="B235" s="221"/>
      <c r="C235" s="221"/>
      <c r="D235" s="223"/>
      <c r="E235" s="54"/>
      <c r="F235" s="16">
        <v>82.642857142857139</v>
      </c>
      <c r="G235" s="8">
        <v>10.214285714285714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17">
        <v>0</v>
      </c>
      <c r="T235" s="8">
        <v>7.1428571428571423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0</v>
      </c>
      <c r="AD235" s="14">
        <f t="shared" si="23"/>
        <v>99.999999999999986</v>
      </c>
      <c r="AE235" s="8">
        <v>0</v>
      </c>
      <c r="AF235" s="8">
        <v>0</v>
      </c>
      <c r="AG235" s="8">
        <v>0</v>
      </c>
      <c r="AH235" s="8">
        <v>0</v>
      </c>
      <c r="AI235" s="39" t="s">
        <v>1531</v>
      </c>
      <c r="AJ235" s="7">
        <v>200</v>
      </c>
      <c r="AK235" s="62">
        <v>1323</v>
      </c>
      <c r="AL235" s="158">
        <v>99.5</v>
      </c>
      <c r="AM235" s="85"/>
      <c r="AN235" s="85">
        <f>100-AL235</f>
        <v>0.5</v>
      </c>
      <c r="AO235" s="85"/>
      <c r="AP235" s="85"/>
      <c r="AQ235" s="85"/>
      <c r="AR235" s="85"/>
      <c r="AS235" s="85"/>
      <c r="AT235" s="205"/>
      <c r="AU235" s="85">
        <v>1</v>
      </c>
      <c r="AV235" s="196">
        <f t="shared" si="24"/>
        <v>100</v>
      </c>
      <c r="AW235" s="85"/>
      <c r="AX235" s="85"/>
      <c r="AY235" s="39"/>
      <c r="AZ235" s="7"/>
      <c r="BA235" s="62"/>
      <c r="BB235" s="7">
        <v>1</v>
      </c>
      <c r="BC235" s="75">
        <v>22</v>
      </c>
      <c r="BD235" s="75">
        <v>192</v>
      </c>
      <c r="BE235" s="75">
        <v>4.0999999999999996</v>
      </c>
      <c r="BF235" s="39"/>
      <c r="BG235" s="7"/>
      <c r="BH235" s="62"/>
      <c r="BI235" s="7"/>
      <c r="BJ235" s="32"/>
      <c r="BK235" s="256"/>
    </row>
    <row r="236" spans="1:63" s="6" customFormat="1" ht="23.25" customHeight="1" thickBot="1" x14ac:dyDescent="0.25">
      <c r="A236" s="62">
        <v>235</v>
      </c>
      <c r="B236" s="222"/>
      <c r="C236" s="222"/>
      <c r="D236" s="224"/>
      <c r="E236" s="13"/>
      <c r="F236" s="80">
        <v>82.642857142857139</v>
      </c>
      <c r="G236" s="81">
        <v>10.214285714285714</v>
      </c>
      <c r="H236" s="81">
        <v>0</v>
      </c>
      <c r="I236" s="81">
        <v>0</v>
      </c>
      <c r="J236" s="81">
        <v>0</v>
      </c>
      <c r="K236" s="81">
        <v>0</v>
      </c>
      <c r="L236" s="81">
        <v>0</v>
      </c>
      <c r="M236" s="81">
        <v>0</v>
      </c>
      <c r="N236" s="81">
        <v>0</v>
      </c>
      <c r="O236" s="81">
        <v>0</v>
      </c>
      <c r="P236" s="81">
        <v>0</v>
      </c>
      <c r="Q236" s="81">
        <v>0</v>
      </c>
      <c r="R236" s="81">
        <v>0</v>
      </c>
      <c r="S236" s="82">
        <v>0</v>
      </c>
      <c r="T236" s="81">
        <v>7.1428571428571423</v>
      </c>
      <c r="U236" s="81">
        <v>0</v>
      </c>
      <c r="V236" s="81">
        <v>0</v>
      </c>
      <c r="W236" s="81">
        <v>0</v>
      </c>
      <c r="X236" s="81">
        <v>0</v>
      </c>
      <c r="Y236" s="81">
        <v>0</v>
      </c>
      <c r="Z236" s="81">
        <v>0</v>
      </c>
      <c r="AA236" s="81">
        <v>0</v>
      </c>
      <c r="AB236" s="81">
        <v>0</v>
      </c>
      <c r="AC236" s="81">
        <v>0</v>
      </c>
      <c r="AD236" s="83">
        <f t="shared" si="23"/>
        <v>99.999999999999986</v>
      </c>
      <c r="AE236" s="81">
        <v>0</v>
      </c>
      <c r="AF236" s="81">
        <v>0</v>
      </c>
      <c r="AG236" s="81">
        <v>0</v>
      </c>
      <c r="AH236" s="81">
        <v>0</v>
      </c>
      <c r="AI236" s="79" t="s">
        <v>1531</v>
      </c>
      <c r="AJ236" s="65">
        <v>300</v>
      </c>
      <c r="AK236" s="78">
        <v>1323</v>
      </c>
      <c r="AL236" s="200">
        <v>99.7</v>
      </c>
      <c r="AM236" s="190"/>
      <c r="AN236" s="190">
        <f>100-AL236</f>
        <v>0.29999999999999716</v>
      </c>
      <c r="AO236" s="190"/>
      <c r="AP236" s="190"/>
      <c r="AQ236" s="190"/>
      <c r="AR236" s="190"/>
      <c r="AS236" s="190"/>
      <c r="AT236" s="201"/>
      <c r="AU236" s="190">
        <v>1</v>
      </c>
      <c r="AV236" s="202">
        <f t="shared" si="24"/>
        <v>100</v>
      </c>
      <c r="AW236" s="190"/>
      <c r="AX236" s="190"/>
      <c r="AY236" s="79"/>
      <c r="AZ236" s="65"/>
      <c r="BA236" s="78"/>
      <c r="BB236" s="65">
        <v>1</v>
      </c>
      <c r="BC236" s="188">
        <v>23.1</v>
      </c>
      <c r="BD236" s="188">
        <v>192</v>
      </c>
      <c r="BE236" s="188">
        <v>5</v>
      </c>
      <c r="BF236" s="79"/>
      <c r="BG236" s="65"/>
      <c r="BH236" s="78"/>
      <c r="BI236" s="65"/>
      <c r="BJ236" s="68"/>
      <c r="BK236" s="256"/>
    </row>
    <row r="237" spans="1:63" ht="23.25" customHeight="1" thickBot="1" x14ac:dyDescent="0.25">
      <c r="A237" s="7">
        <v>236</v>
      </c>
      <c r="B237" s="32">
        <v>85</v>
      </c>
      <c r="C237" s="32" t="s">
        <v>1560</v>
      </c>
      <c r="D237" s="54" t="s">
        <v>72</v>
      </c>
      <c r="E237" s="54"/>
      <c r="F237" s="16">
        <v>79.857142857142861</v>
      </c>
      <c r="G237" s="8">
        <v>13.000000000000004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17">
        <v>0</v>
      </c>
      <c r="T237" s="8">
        <v>2.1428571428571428</v>
      </c>
      <c r="U237" s="8">
        <v>0</v>
      </c>
      <c r="V237" s="8">
        <v>0</v>
      </c>
      <c r="W237" s="8">
        <v>5</v>
      </c>
      <c r="X237" s="8">
        <v>0</v>
      </c>
      <c r="Y237" s="8">
        <v>0</v>
      </c>
      <c r="Z237" s="8">
        <v>0</v>
      </c>
      <c r="AA237" s="8">
        <v>0</v>
      </c>
      <c r="AB237" s="8">
        <v>0</v>
      </c>
      <c r="AC237" s="8">
        <v>0</v>
      </c>
      <c r="AD237" s="14">
        <f t="shared" si="23"/>
        <v>100</v>
      </c>
      <c r="AE237" s="8">
        <v>0</v>
      </c>
      <c r="AF237" s="8">
        <v>0</v>
      </c>
      <c r="AG237" s="8">
        <v>0</v>
      </c>
      <c r="AH237" s="8">
        <v>0</v>
      </c>
      <c r="AI237" s="39" t="s">
        <v>1531</v>
      </c>
      <c r="AJ237" s="7">
        <v>240</v>
      </c>
      <c r="AK237" s="62">
        <v>1423</v>
      </c>
      <c r="AL237" s="158">
        <v>100</v>
      </c>
      <c r="AM237" s="85"/>
      <c r="AN237" s="85"/>
      <c r="AO237" s="85"/>
      <c r="AP237" s="85"/>
      <c r="AQ237" s="85"/>
      <c r="AR237" s="85"/>
      <c r="AS237" s="85"/>
      <c r="AT237" s="205"/>
      <c r="AU237" s="85"/>
      <c r="AV237" s="196">
        <f t="shared" si="24"/>
        <v>100</v>
      </c>
      <c r="AW237" s="85"/>
      <c r="AX237" s="85"/>
      <c r="AY237" s="39"/>
      <c r="AZ237" s="7"/>
      <c r="BA237" s="62"/>
      <c r="BB237" s="7">
        <v>5</v>
      </c>
      <c r="BC237" s="75">
        <v>22.4</v>
      </c>
      <c r="BD237" s="75">
        <v>197.9</v>
      </c>
      <c r="BE237" s="75">
        <v>20.6</v>
      </c>
      <c r="BF237" s="39"/>
      <c r="BG237" s="7"/>
      <c r="BH237" s="62"/>
      <c r="BI237" s="7"/>
      <c r="BJ237" s="32"/>
      <c r="BK237" s="54"/>
    </row>
    <row r="238" spans="1:63" s="4" customFormat="1" ht="23.25" customHeight="1" thickBot="1" x14ac:dyDescent="0.25">
      <c r="A238" s="62">
        <v>237</v>
      </c>
      <c r="B238" s="238">
        <v>86</v>
      </c>
      <c r="C238" s="238" t="s">
        <v>1558</v>
      </c>
      <c r="D238" s="12" t="s">
        <v>73</v>
      </c>
      <c r="E238" s="12"/>
      <c r="F238" s="87">
        <v>76.428571428571416</v>
      </c>
      <c r="G238" s="88">
        <v>10.714285714285714</v>
      </c>
      <c r="H238" s="88">
        <v>0</v>
      </c>
      <c r="I238" s="88">
        <v>0</v>
      </c>
      <c r="J238" s="88">
        <v>5.7142857142857144</v>
      </c>
      <c r="K238" s="88">
        <v>0</v>
      </c>
      <c r="L238" s="88">
        <v>0</v>
      </c>
      <c r="M238" s="88">
        <v>0</v>
      </c>
      <c r="N238" s="88">
        <v>0</v>
      </c>
      <c r="O238" s="88">
        <v>0</v>
      </c>
      <c r="P238" s="88">
        <v>0</v>
      </c>
      <c r="Q238" s="88">
        <v>0</v>
      </c>
      <c r="R238" s="88">
        <v>0</v>
      </c>
      <c r="S238" s="89">
        <v>0</v>
      </c>
      <c r="T238" s="88">
        <v>4.2857142857142856</v>
      </c>
      <c r="U238" s="88">
        <v>0</v>
      </c>
      <c r="V238" s="88">
        <v>0</v>
      </c>
      <c r="W238" s="88">
        <v>2.8571428571428572</v>
      </c>
      <c r="X238" s="88">
        <v>0</v>
      </c>
      <c r="Y238" s="88">
        <v>0</v>
      </c>
      <c r="Z238" s="88">
        <v>0</v>
      </c>
      <c r="AA238" s="88">
        <v>0</v>
      </c>
      <c r="AB238" s="88">
        <v>0</v>
      </c>
      <c r="AC238" s="88">
        <v>0</v>
      </c>
      <c r="AD238" s="90">
        <f t="shared" si="23"/>
        <v>99.999999999999986</v>
      </c>
      <c r="AE238" s="88">
        <v>0</v>
      </c>
      <c r="AF238" s="88">
        <v>0</v>
      </c>
      <c r="AG238" s="88">
        <v>0</v>
      </c>
      <c r="AH238" s="88">
        <v>0</v>
      </c>
      <c r="AI238" s="156"/>
      <c r="AJ238" s="45"/>
      <c r="AK238" s="91"/>
      <c r="AL238" s="197"/>
      <c r="AM238" s="189"/>
      <c r="AN238" s="189"/>
      <c r="AO238" s="189"/>
      <c r="AP238" s="189"/>
      <c r="AQ238" s="189"/>
      <c r="AR238" s="189"/>
      <c r="AS238" s="189"/>
      <c r="AT238" s="198"/>
      <c r="AU238" s="189"/>
      <c r="AV238" s="199"/>
      <c r="AW238" s="189"/>
      <c r="AX238" s="189"/>
      <c r="AY238" s="156">
        <v>0.5</v>
      </c>
      <c r="AZ238" s="45">
        <v>269</v>
      </c>
      <c r="BA238" s="91"/>
      <c r="BB238" s="45" t="s">
        <v>590</v>
      </c>
      <c r="BC238" s="45" t="s">
        <v>651</v>
      </c>
      <c r="BD238" s="45"/>
      <c r="BE238" s="45" t="s">
        <v>652</v>
      </c>
      <c r="BF238" s="156"/>
      <c r="BG238" s="45"/>
      <c r="BH238" s="91"/>
      <c r="BI238" s="45"/>
      <c r="BJ238" s="67"/>
      <c r="BK238" s="256" t="s">
        <v>1757</v>
      </c>
    </row>
    <row r="239" spans="1:63" ht="23.25" customHeight="1" thickBot="1" x14ac:dyDescent="0.25">
      <c r="A239" s="7">
        <v>238</v>
      </c>
      <c r="B239" s="221"/>
      <c r="C239" s="221"/>
      <c r="D239" s="54" t="s">
        <v>74</v>
      </c>
      <c r="E239" s="54"/>
      <c r="F239" s="16">
        <f>10.7/14*100</f>
        <v>76.428571428571416</v>
      </c>
      <c r="G239" s="8">
        <f>1.5/14*100</f>
        <v>10.714285714285714</v>
      </c>
      <c r="H239" s="8">
        <v>0</v>
      </c>
      <c r="I239" s="8">
        <v>0</v>
      </c>
      <c r="J239" s="8">
        <v>5.7142857142857144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17">
        <v>0</v>
      </c>
      <c r="T239" s="8">
        <f>0.5/14*100</f>
        <v>3.5714285714285712</v>
      </c>
      <c r="U239" s="8">
        <v>0</v>
      </c>
      <c r="V239" s="8">
        <v>0</v>
      </c>
      <c r="W239" s="8">
        <f>0.5/14*100</f>
        <v>3.5714285714285712</v>
      </c>
      <c r="X239" s="8">
        <v>0</v>
      </c>
      <c r="Y239" s="8">
        <v>0</v>
      </c>
      <c r="Z239" s="8">
        <v>0</v>
      </c>
      <c r="AA239" s="8">
        <v>0</v>
      </c>
      <c r="AB239" s="8">
        <v>0</v>
      </c>
      <c r="AC239" s="8">
        <v>0</v>
      </c>
      <c r="AD239" s="14">
        <f t="shared" si="23"/>
        <v>99.999999999999972</v>
      </c>
      <c r="AE239" s="8">
        <v>0</v>
      </c>
      <c r="AF239" s="8">
        <f>0.2/14*100</f>
        <v>1.4285714285714286</v>
      </c>
      <c r="AG239" s="8">
        <v>0</v>
      </c>
      <c r="AH239" s="8">
        <v>0</v>
      </c>
      <c r="AJ239" s="7"/>
      <c r="AK239" s="62"/>
      <c r="AL239" s="158"/>
      <c r="AM239" s="85"/>
      <c r="AN239" s="85"/>
      <c r="AO239" s="85"/>
      <c r="AP239" s="85"/>
      <c r="AQ239" s="85"/>
      <c r="AR239" s="85"/>
      <c r="AS239" s="85"/>
      <c r="AT239" s="205"/>
      <c r="AU239" s="85"/>
      <c r="AV239" s="196"/>
      <c r="AW239" s="85"/>
      <c r="AX239" s="85"/>
      <c r="AY239" s="39"/>
      <c r="AZ239" s="7"/>
      <c r="BA239" s="62"/>
      <c r="BB239" s="7" t="s">
        <v>524</v>
      </c>
      <c r="BC239" s="7" t="s">
        <v>653</v>
      </c>
      <c r="BD239" s="7"/>
      <c r="BE239" s="7"/>
      <c r="BF239" s="39"/>
      <c r="BG239" s="7"/>
      <c r="BH239" s="62"/>
      <c r="BI239" s="7"/>
      <c r="BJ239" s="32"/>
      <c r="BK239" s="256"/>
    </row>
    <row r="240" spans="1:63" ht="23.25" customHeight="1" thickBot="1" x14ac:dyDescent="0.25">
      <c r="A240" s="62">
        <v>239</v>
      </c>
      <c r="B240" s="221"/>
      <c r="C240" s="221"/>
      <c r="D240" s="54" t="s">
        <v>75</v>
      </c>
      <c r="E240" s="54"/>
      <c r="F240" s="16">
        <v>81.899999999999991</v>
      </c>
      <c r="G240" s="8">
        <v>0</v>
      </c>
      <c r="H240" s="8">
        <v>9.2857142857142865</v>
      </c>
      <c r="I240" s="8">
        <v>0</v>
      </c>
      <c r="J240" s="8">
        <v>1.6714285714285713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17">
        <v>0</v>
      </c>
      <c r="T240" s="8">
        <v>7.1428571428571423</v>
      </c>
      <c r="U240" s="8">
        <v>0</v>
      </c>
      <c r="V240" s="8">
        <v>0</v>
      </c>
      <c r="W240" s="8">
        <v>0</v>
      </c>
      <c r="X240" s="8">
        <v>0</v>
      </c>
      <c r="Y240" s="8">
        <v>0</v>
      </c>
      <c r="Z240" s="8">
        <v>0</v>
      </c>
      <c r="AA240" s="8">
        <v>0</v>
      </c>
      <c r="AB240" s="8">
        <v>0</v>
      </c>
      <c r="AC240" s="8">
        <v>0</v>
      </c>
      <c r="AD240" s="14">
        <f t="shared" si="23"/>
        <v>100</v>
      </c>
      <c r="AE240" s="8">
        <v>0</v>
      </c>
      <c r="AF240" s="8">
        <v>0</v>
      </c>
      <c r="AG240" s="8">
        <v>0</v>
      </c>
      <c r="AH240" s="8">
        <v>0</v>
      </c>
      <c r="AJ240" s="7"/>
      <c r="AK240" s="62"/>
      <c r="AL240" s="158"/>
      <c r="AM240" s="85"/>
      <c r="AN240" s="85"/>
      <c r="AO240" s="85"/>
      <c r="AP240" s="85"/>
      <c r="AQ240" s="85"/>
      <c r="AR240" s="85"/>
      <c r="AS240" s="85"/>
      <c r="AT240" s="205"/>
      <c r="AU240" s="85"/>
      <c r="AV240" s="196"/>
      <c r="AW240" s="85"/>
      <c r="AX240" s="85"/>
      <c r="AY240" s="39"/>
      <c r="AZ240" s="7"/>
      <c r="BA240" s="62"/>
      <c r="BB240" s="7">
        <v>5</v>
      </c>
      <c r="BC240" s="7">
        <v>10.6</v>
      </c>
      <c r="BD240" s="7"/>
      <c r="BE240" s="7"/>
      <c r="BF240" s="39"/>
      <c r="BG240" s="7"/>
      <c r="BH240" s="62"/>
      <c r="BI240" s="7"/>
      <c r="BJ240" s="32"/>
      <c r="BK240" s="256"/>
    </row>
    <row r="241" spans="1:63" ht="23.25" customHeight="1" thickBot="1" x14ac:dyDescent="0.25">
      <c r="A241" s="7">
        <v>240</v>
      </c>
      <c r="B241" s="221"/>
      <c r="C241" s="221"/>
      <c r="D241" s="54" t="s">
        <v>76</v>
      </c>
      <c r="E241" s="54"/>
      <c r="F241" s="16">
        <v>78.2</v>
      </c>
      <c r="G241" s="8">
        <v>7.8571428571428585</v>
      </c>
      <c r="H241" s="8">
        <v>0</v>
      </c>
      <c r="I241" s="8">
        <v>0</v>
      </c>
      <c r="J241" s="8">
        <v>6.8000000000000007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17">
        <v>0</v>
      </c>
      <c r="T241" s="8">
        <v>7.1428571428571423</v>
      </c>
      <c r="U241" s="8">
        <v>0</v>
      </c>
      <c r="V241" s="8">
        <v>0</v>
      </c>
      <c r="W241" s="8">
        <v>0</v>
      </c>
      <c r="X241" s="8">
        <v>0</v>
      </c>
      <c r="Y241" s="8">
        <v>0</v>
      </c>
      <c r="Z241" s="8">
        <v>0</v>
      </c>
      <c r="AA241" s="8">
        <v>0</v>
      </c>
      <c r="AB241" s="8">
        <v>0</v>
      </c>
      <c r="AC241" s="8">
        <v>0</v>
      </c>
      <c r="AD241" s="14">
        <f t="shared" si="23"/>
        <v>100</v>
      </c>
      <c r="AE241" s="8">
        <v>0</v>
      </c>
      <c r="AF241" s="8">
        <v>0</v>
      </c>
      <c r="AG241" s="8">
        <v>0</v>
      </c>
      <c r="AH241" s="8">
        <v>0</v>
      </c>
      <c r="AJ241" s="7"/>
      <c r="AK241" s="62"/>
      <c r="AL241" s="158"/>
      <c r="AM241" s="85"/>
      <c r="AN241" s="85"/>
      <c r="AO241" s="85"/>
      <c r="AP241" s="85"/>
      <c r="AQ241" s="85"/>
      <c r="AR241" s="85"/>
      <c r="AS241" s="85"/>
      <c r="AT241" s="205"/>
      <c r="AU241" s="85"/>
      <c r="AV241" s="196"/>
      <c r="AW241" s="85"/>
      <c r="AX241" s="85"/>
      <c r="AY241" s="39"/>
      <c r="AZ241" s="7"/>
      <c r="BA241" s="62"/>
      <c r="BB241" s="7">
        <v>5</v>
      </c>
      <c r="BC241" s="7">
        <v>15.6</v>
      </c>
      <c r="BD241" s="7"/>
      <c r="BE241" s="7"/>
      <c r="BF241" s="39"/>
      <c r="BG241" s="7"/>
      <c r="BH241" s="62"/>
      <c r="BI241" s="7"/>
      <c r="BJ241" s="32"/>
      <c r="BK241" s="256"/>
    </row>
    <row r="242" spans="1:63" ht="23.25" customHeight="1" thickBot="1" x14ac:dyDescent="0.25">
      <c r="A242" s="62">
        <v>241</v>
      </c>
      <c r="B242" s="221"/>
      <c r="C242" s="221"/>
      <c r="D242" s="54" t="s">
        <v>77</v>
      </c>
      <c r="E242" s="54"/>
      <c r="F242" s="16">
        <v>80</v>
      </c>
      <c r="G242" s="8">
        <v>7.8571428571428585</v>
      </c>
      <c r="H242" s="8">
        <v>0</v>
      </c>
      <c r="I242" s="8">
        <v>0</v>
      </c>
      <c r="J242" s="8">
        <v>5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17">
        <v>0</v>
      </c>
      <c r="T242" s="8">
        <v>7.1428571428571441</v>
      </c>
      <c r="U242" s="8">
        <v>0</v>
      </c>
      <c r="V242" s="8">
        <v>0</v>
      </c>
      <c r="W242" s="8">
        <v>0</v>
      </c>
      <c r="X242" s="8">
        <v>0</v>
      </c>
      <c r="Y242" s="8">
        <v>0</v>
      </c>
      <c r="Z242" s="8">
        <v>0</v>
      </c>
      <c r="AA242" s="8">
        <v>0</v>
      </c>
      <c r="AB242" s="8">
        <v>0</v>
      </c>
      <c r="AC242" s="8">
        <v>0</v>
      </c>
      <c r="AD242" s="14">
        <f t="shared" si="23"/>
        <v>100</v>
      </c>
      <c r="AE242" s="8">
        <v>0</v>
      </c>
      <c r="AF242" s="8">
        <v>0</v>
      </c>
      <c r="AG242" s="8">
        <v>0</v>
      </c>
      <c r="AH242" s="8">
        <v>0</v>
      </c>
      <c r="AJ242" s="7"/>
      <c r="AK242" s="62"/>
      <c r="AL242" s="158"/>
      <c r="AM242" s="85"/>
      <c r="AN242" s="85"/>
      <c r="AO242" s="85"/>
      <c r="AP242" s="85"/>
      <c r="AQ242" s="85"/>
      <c r="AR242" s="85"/>
      <c r="AS242" s="85"/>
      <c r="AT242" s="205"/>
      <c r="AU242" s="85"/>
      <c r="AV242" s="196"/>
      <c r="AW242" s="85"/>
      <c r="AX242" s="85"/>
      <c r="AY242" s="39"/>
      <c r="AZ242" s="7"/>
      <c r="BA242" s="62"/>
      <c r="BB242" s="7">
        <v>5</v>
      </c>
      <c r="BC242" s="7">
        <v>20.3</v>
      </c>
      <c r="BD242" s="7"/>
      <c r="BE242" s="7"/>
      <c r="BF242" s="39"/>
      <c r="BG242" s="7"/>
      <c r="BH242" s="62"/>
      <c r="BI242" s="7"/>
      <c r="BJ242" s="32"/>
      <c r="BK242" s="256"/>
    </row>
    <row r="243" spans="1:63" s="6" customFormat="1" ht="23.25" customHeight="1" thickBot="1" x14ac:dyDescent="0.25">
      <c r="A243" s="7">
        <v>242</v>
      </c>
      <c r="B243" s="222"/>
      <c r="C243" s="222"/>
      <c r="D243" s="13" t="s">
        <v>78</v>
      </c>
      <c r="E243" s="13"/>
      <c r="F243" s="80">
        <v>76.428571428571416</v>
      </c>
      <c r="G243" s="81">
        <v>10.714285714285714</v>
      </c>
      <c r="H243" s="81">
        <v>0</v>
      </c>
      <c r="I243" s="81">
        <v>0</v>
      </c>
      <c r="J243" s="81">
        <v>5.7142857142857144</v>
      </c>
      <c r="K243" s="81">
        <v>0</v>
      </c>
      <c r="L243" s="81">
        <v>0</v>
      </c>
      <c r="M243" s="81">
        <v>0</v>
      </c>
      <c r="N243" s="81">
        <v>0</v>
      </c>
      <c r="O243" s="81">
        <v>0</v>
      </c>
      <c r="P243" s="81">
        <v>0</v>
      </c>
      <c r="Q243" s="81">
        <v>0</v>
      </c>
      <c r="R243" s="81">
        <v>0</v>
      </c>
      <c r="S243" s="82">
        <v>0</v>
      </c>
      <c r="T243" s="81">
        <v>7.1428571428571423</v>
      </c>
      <c r="U243" s="81">
        <v>0</v>
      </c>
      <c r="V243" s="81">
        <v>0</v>
      </c>
      <c r="W243" s="81">
        <v>0</v>
      </c>
      <c r="X243" s="81">
        <v>0</v>
      </c>
      <c r="Y243" s="81">
        <v>0</v>
      </c>
      <c r="Z243" s="81">
        <v>0</v>
      </c>
      <c r="AA243" s="81">
        <v>0</v>
      </c>
      <c r="AB243" s="81">
        <v>0</v>
      </c>
      <c r="AC243" s="81">
        <v>0</v>
      </c>
      <c r="AD243" s="83">
        <f t="shared" si="23"/>
        <v>99.999999999999972</v>
      </c>
      <c r="AE243" s="81">
        <v>0</v>
      </c>
      <c r="AF243" s="81">
        <v>0</v>
      </c>
      <c r="AG243" s="81">
        <v>0</v>
      </c>
      <c r="AH243" s="81">
        <v>0</v>
      </c>
      <c r="AI243" s="79"/>
      <c r="AJ243" s="65"/>
      <c r="AK243" s="78"/>
      <c r="AL243" s="200"/>
      <c r="AM243" s="190"/>
      <c r="AN243" s="190"/>
      <c r="AO243" s="190"/>
      <c r="AP243" s="190"/>
      <c r="AQ243" s="190"/>
      <c r="AR243" s="190"/>
      <c r="AS243" s="190"/>
      <c r="AT243" s="201"/>
      <c r="AU243" s="190"/>
      <c r="AV243" s="202"/>
      <c r="AW243" s="190"/>
      <c r="AX243" s="190"/>
      <c r="AY243" s="79"/>
      <c r="AZ243" s="65"/>
      <c r="BA243" s="78"/>
      <c r="BB243" s="65" t="s">
        <v>590</v>
      </c>
      <c r="BC243" s="65" t="s">
        <v>654</v>
      </c>
      <c r="BD243" s="65"/>
      <c r="BE243" s="65" t="s">
        <v>655</v>
      </c>
      <c r="BF243" s="79"/>
      <c r="BG243" s="65"/>
      <c r="BH243" s="78"/>
      <c r="BI243" s="65"/>
      <c r="BJ243" s="68"/>
      <c r="BK243" s="256"/>
    </row>
    <row r="244" spans="1:63" ht="23.25" customHeight="1" thickBot="1" x14ac:dyDescent="0.25">
      <c r="A244" s="62">
        <v>243</v>
      </c>
      <c r="B244" s="221">
        <v>88</v>
      </c>
      <c r="C244" s="221" t="s">
        <v>1557</v>
      </c>
      <c r="D244" s="225" t="s">
        <v>79</v>
      </c>
      <c r="E244" s="54" t="s">
        <v>241</v>
      </c>
      <c r="F244" s="16">
        <v>82.857142857142847</v>
      </c>
      <c r="G244" s="8">
        <v>10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17">
        <v>0</v>
      </c>
      <c r="T244" s="8">
        <v>7.1428571428571423</v>
      </c>
      <c r="U244" s="8">
        <v>0</v>
      </c>
      <c r="V244" s="8">
        <v>0</v>
      </c>
      <c r="W244" s="8">
        <v>0</v>
      </c>
      <c r="X244" s="8">
        <v>0</v>
      </c>
      <c r="Y244" s="8">
        <v>0</v>
      </c>
      <c r="Z244" s="8">
        <v>0</v>
      </c>
      <c r="AA244" s="8">
        <v>0</v>
      </c>
      <c r="AB244" s="8">
        <v>0</v>
      </c>
      <c r="AC244" s="8">
        <v>0</v>
      </c>
      <c r="AD244" s="14">
        <f t="shared" si="23"/>
        <v>99.999999999999986</v>
      </c>
      <c r="AE244" s="8">
        <v>0</v>
      </c>
      <c r="AF244" s="8">
        <v>0</v>
      </c>
      <c r="AG244" s="8">
        <v>0</v>
      </c>
      <c r="AH244" s="8">
        <v>0</v>
      </c>
      <c r="AI244" s="39" t="s">
        <v>1531</v>
      </c>
      <c r="AJ244" s="7">
        <v>168</v>
      </c>
      <c r="AK244" s="62">
        <v>1323</v>
      </c>
      <c r="AL244" s="211">
        <f>94.8/100.645*100</f>
        <v>94.192458641760652</v>
      </c>
      <c r="AM244" s="212">
        <f>5.2/100.645*100</f>
        <v>5.1666749465944664</v>
      </c>
      <c r="AN244" s="212">
        <f>0.645/100.645*100</f>
        <v>0.64086641164489044</v>
      </c>
      <c r="AO244" s="85"/>
      <c r="AP244" s="85"/>
      <c r="AQ244" s="85"/>
      <c r="AR244" s="85"/>
      <c r="AS244" s="85"/>
      <c r="AT244" s="205"/>
      <c r="AU244" s="85">
        <v>0</v>
      </c>
      <c r="AV244" s="196">
        <f>SUM(AL244:AT244)</f>
        <v>100.00000000000001</v>
      </c>
      <c r="AW244" s="85">
        <v>11.481999999999999</v>
      </c>
      <c r="AX244" s="85"/>
      <c r="AY244" s="39">
        <v>0.01</v>
      </c>
      <c r="AZ244" s="7">
        <v>197.1</v>
      </c>
      <c r="BA244" s="62">
        <v>2</v>
      </c>
      <c r="BB244" s="7">
        <v>2</v>
      </c>
      <c r="BC244" s="75">
        <v>19.899999999999999</v>
      </c>
      <c r="BD244" s="186">
        <v>201</v>
      </c>
      <c r="BE244" s="75">
        <v>10</v>
      </c>
      <c r="BF244" s="39">
        <v>1.9</v>
      </c>
      <c r="BG244" s="7">
        <v>6.1</v>
      </c>
      <c r="BH244" s="62">
        <v>198.1</v>
      </c>
      <c r="BI244" s="7"/>
      <c r="BJ244" s="32"/>
      <c r="BK244" s="256"/>
    </row>
    <row r="245" spans="1:63" ht="23.25" customHeight="1" thickBot="1" x14ac:dyDescent="0.25">
      <c r="A245" s="7">
        <v>244</v>
      </c>
      <c r="B245" s="221"/>
      <c r="C245" s="221"/>
      <c r="D245" s="223"/>
      <c r="E245" s="54" t="s">
        <v>248</v>
      </c>
      <c r="F245" s="16">
        <v>82.857142857142847</v>
      </c>
      <c r="G245" s="8">
        <v>10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17">
        <v>0</v>
      </c>
      <c r="T245" s="8">
        <v>7.1428571428571423</v>
      </c>
      <c r="U245" s="8">
        <v>0</v>
      </c>
      <c r="V245" s="8">
        <v>0</v>
      </c>
      <c r="W245" s="8">
        <v>0</v>
      </c>
      <c r="X245" s="8">
        <v>0</v>
      </c>
      <c r="Y245" s="8">
        <v>0</v>
      </c>
      <c r="Z245" s="8">
        <v>0</v>
      </c>
      <c r="AA245" s="8">
        <v>0</v>
      </c>
      <c r="AB245" s="8">
        <v>0</v>
      </c>
      <c r="AC245" s="8">
        <v>0</v>
      </c>
      <c r="AD245" s="14">
        <f t="shared" si="23"/>
        <v>99.999999999999986</v>
      </c>
      <c r="AE245" s="8">
        <v>0</v>
      </c>
      <c r="AF245" s="8">
        <f>0.1/14*100</f>
        <v>0.7142857142857143</v>
      </c>
      <c r="AG245" s="8">
        <v>0</v>
      </c>
      <c r="AH245" s="8">
        <v>0</v>
      </c>
      <c r="AI245" s="39" t="s">
        <v>1531</v>
      </c>
      <c r="AJ245" s="7">
        <v>168</v>
      </c>
      <c r="AK245" s="62">
        <v>1323</v>
      </c>
      <c r="AL245" s="211">
        <f>96.2/100.745*100</f>
        <v>95.488609856568559</v>
      </c>
      <c r="AM245" s="212">
        <f>3.9/100.745*100</f>
        <v>3.8711598590500764</v>
      </c>
      <c r="AN245" s="212">
        <f>0.645/100.745*100</f>
        <v>0.64023028438135887</v>
      </c>
      <c r="AO245" s="85"/>
      <c r="AP245" s="85"/>
      <c r="AQ245" s="85"/>
      <c r="AR245" s="85"/>
      <c r="AS245" s="85"/>
      <c r="AT245" s="205"/>
      <c r="AU245" s="85">
        <v>0</v>
      </c>
      <c r="AV245" s="196">
        <f>SUM(AL245:AT245)</f>
        <v>100</v>
      </c>
      <c r="AW245" s="85">
        <v>11.497999999999999</v>
      </c>
      <c r="AX245" s="85"/>
      <c r="AY245" s="39">
        <v>0.01</v>
      </c>
      <c r="AZ245" s="7">
        <v>214.3</v>
      </c>
      <c r="BA245" s="62">
        <v>0.4</v>
      </c>
      <c r="BB245" s="7">
        <v>2</v>
      </c>
      <c r="BC245" s="75">
        <v>19.600000000000001</v>
      </c>
      <c r="BD245" s="186">
        <v>216</v>
      </c>
      <c r="BE245" s="75">
        <v>9.5</v>
      </c>
      <c r="BF245" s="39">
        <v>1.9</v>
      </c>
      <c r="BG245" s="7">
        <v>5.4</v>
      </c>
      <c r="BH245" s="62">
        <v>216</v>
      </c>
      <c r="BI245" s="7"/>
      <c r="BJ245" s="32"/>
      <c r="BK245" s="256"/>
    </row>
    <row r="246" spans="1:63" ht="23.25" customHeight="1" thickBot="1" x14ac:dyDescent="0.25">
      <c r="A246" s="62">
        <v>245</v>
      </c>
      <c r="B246" s="221"/>
      <c r="C246" s="221"/>
      <c r="D246" s="223"/>
      <c r="E246" s="54" t="s">
        <v>249</v>
      </c>
      <c r="F246" s="16">
        <v>82.857142857142847</v>
      </c>
      <c r="G246" s="8">
        <v>10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17">
        <v>0</v>
      </c>
      <c r="T246" s="8">
        <v>7.1428571428571423</v>
      </c>
      <c r="U246" s="8">
        <v>0</v>
      </c>
      <c r="V246" s="8">
        <v>0</v>
      </c>
      <c r="W246" s="8">
        <v>0</v>
      </c>
      <c r="X246" s="8">
        <v>0</v>
      </c>
      <c r="Y246" s="8">
        <v>0</v>
      </c>
      <c r="Z246" s="8">
        <v>0</v>
      </c>
      <c r="AA246" s="8">
        <v>0</v>
      </c>
      <c r="AB246" s="8">
        <v>0</v>
      </c>
      <c r="AC246" s="8">
        <v>0</v>
      </c>
      <c r="AD246" s="14">
        <f t="shared" si="23"/>
        <v>99.999999999999986</v>
      </c>
      <c r="AE246" s="8">
        <v>0</v>
      </c>
      <c r="AF246" s="8">
        <f>0.2/14*100</f>
        <v>1.4285714285714286</v>
      </c>
      <c r="AG246" s="8">
        <v>0</v>
      </c>
      <c r="AH246" s="8">
        <v>0</v>
      </c>
      <c r="AI246" s="39" t="s">
        <v>1531</v>
      </c>
      <c r="AJ246" s="7">
        <v>168</v>
      </c>
      <c r="AK246" s="62">
        <v>1323</v>
      </c>
      <c r="AL246" s="211">
        <f>93.7/100.822*100</f>
        <v>92.936065541250926</v>
      </c>
      <c r="AM246" s="212">
        <f>6.8/100.822*100</f>
        <v>6.7445597191089242</v>
      </c>
      <c r="AN246" s="212">
        <f>0.322/100.822*100</f>
        <v>0.31937473964015789</v>
      </c>
      <c r="AO246" s="85"/>
      <c r="AP246" s="85"/>
      <c r="AQ246" s="85"/>
      <c r="AR246" s="85"/>
      <c r="AS246" s="85"/>
      <c r="AT246" s="205"/>
      <c r="AU246" s="85">
        <v>0</v>
      </c>
      <c r="AV246" s="196">
        <f>SUM(AL246:AT246)</f>
        <v>100</v>
      </c>
      <c r="AW246" s="85">
        <v>11.51</v>
      </c>
      <c r="AX246" s="85"/>
      <c r="AY246" s="39">
        <v>0.01</v>
      </c>
      <c r="AZ246" s="7">
        <v>226.8</v>
      </c>
      <c r="BA246" s="62">
        <v>0</v>
      </c>
      <c r="BB246" s="7">
        <v>2</v>
      </c>
      <c r="BC246" s="75">
        <v>15.4</v>
      </c>
      <c r="BD246" s="186">
        <v>230</v>
      </c>
      <c r="BE246" s="75">
        <v>10.199999999999999</v>
      </c>
      <c r="BF246" s="39">
        <v>1.9</v>
      </c>
      <c r="BG246" s="7">
        <v>4.2</v>
      </c>
      <c r="BH246" s="62">
        <v>227.1</v>
      </c>
      <c r="BI246" s="7"/>
      <c r="BJ246" s="32"/>
      <c r="BK246" s="256"/>
    </row>
    <row r="247" spans="1:63" ht="23.25" customHeight="1" thickBot="1" x14ac:dyDescent="0.25">
      <c r="A247" s="7">
        <v>246</v>
      </c>
      <c r="B247" s="221"/>
      <c r="C247" s="221"/>
      <c r="D247" s="223"/>
      <c r="E247" s="54" t="s">
        <v>242</v>
      </c>
      <c r="F247" s="16">
        <v>82.857142857142847</v>
      </c>
      <c r="G247" s="8">
        <v>10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17">
        <v>0</v>
      </c>
      <c r="T247" s="8">
        <v>7.1428571428571423</v>
      </c>
      <c r="U247" s="8">
        <v>0</v>
      </c>
      <c r="V247" s="8">
        <v>0</v>
      </c>
      <c r="W247" s="8">
        <v>0</v>
      </c>
      <c r="X247" s="8">
        <v>0</v>
      </c>
      <c r="Y247" s="8">
        <v>0</v>
      </c>
      <c r="Z247" s="8">
        <v>0</v>
      </c>
      <c r="AA247" s="8">
        <v>0</v>
      </c>
      <c r="AB247" s="8">
        <v>0</v>
      </c>
      <c r="AC247" s="8">
        <v>0</v>
      </c>
      <c r="AD247" s="14">
        <f t="shared" si="23"/>
        <v>99.999999999999986</v>
      </c>
      <c r="AE247" s="8">
        <v>0</v>
      </c>
      <c r="AF247" s="8">
        <f>0.3/14*100</f>
        <v>2.1428571428571428</v>
      </c>
      <c r="AG247" s="8">
        <v>0</v>
      </c>
      <c r="AH247" s="8">
        <v>0</v>
      </c>
      <c r="AI247" s="39" t="s">
        <v>1531</v>
      </c>
      <c r="AJ247" s="7">
        <v>168</v>
      </c>
      <c r="AK247" s="62">
        <v>1323</v>
      </c>
      <c r="AL247" s="211">
        <f>89.3/100.922*100</f>
        <v>88.484175898218425</v>
      </c>
      <c r="AM247" s="212">
        <f>11.3/100.922*100</f>
        <v>11.196765819147462</v>
      </c>
      <c r="AN247" s="212">
        <f>0.322/100.922*100</f>
        <v>0.31905828263411345</v>
      </c>
      <c r="AO247" s="85"/>
      <c r="AP247" s="85"/>
      <c r="AQ247" s="85"/>
      <c r="AR247" s="85"/>
      <c r="AS247" s="85"/>
      <c r="AT247" s="205"/>
      <c r="AU247" s="85">
        <v>0</v>
      </c>
      <c r="AV247" s="196">
        <f>SUM(AL247:AT247)</f>
        <v>100</v>
      </c>
      <c r="AW247" s="85">
        <v>11.522</v>
      </c>
      <c r="AX247" s="85"/>
      <c r="AY247" s="39">
        <v>0.01</v>
      </c>
      <c r="AZ247" s="7">
        <v>242.5</v>
      </c>
      <c r="BA247" s="62">
        <v>0</v>
      </c>
      <c r="BB247" s="7">
        <v>2</v>
      </c>
      <c r="BC247" s="75">
        <v>9.8000000000000007</v>
      </c>
      <c r="BD247" s="186">
        <v>244</v>
      </c>
      <c r="BE247" s="75">
        <v>14.4</v>
      </c>
      <c r="BF247" s="39">
        <v>1.9</v>
      </c>
      <c r="BG247" s="7">
        <v>3.9</v>
      </c>
      <c r="BH247" s="62">
        <v>240</v>
      </c>
      <c r="BI247" s="7"/>
      <c r="BJ247" s="32"/>
      <c r="BK247" s="256"/>
    </row>
    <row r="248" spans="1:63" ht="23.25" customHeight="1" thickBot="1" x14ac:dyDescent="0.25">
      <c r="A248" s="62">
        <v>247</v>
      </c>
      <c r="B248" s="221"/>
      <c r="C248" s="221"/>
      <c r="D248" s="224"/>
      <c r="E248" s="54" t="s">
        <v>243</v>
      </c>
      <c r="F248" s="16">
        <v>82.857142857142847</v>
      </c>
      <c r="G248" s="8">
        <v>10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17">
        <v>0</v>
      </c>
      <c r="T248" s="8">
        <v>7.1428571428571423</v>
      </c>
      <c r="U248" s="8">
        <v>0</v>
      </c>
      <c r="V248" s="8">
        <v>0</v>
      </c>
      <c r="W248" s="8">
        <v>0</v>
      </c>
      <c r="X248" s="8">
        <v>0</v>
      </c>
      <c r="Y248" s="8">
        <v>0</v>
      </c>
      <c r="Z248" s="8">
        <v>0</v>
      </c>
      <c r="AA248" s="8">
        <v>0</v>
      </c>
      <c r="AB248" s="8">
        <v>0</v>
      </c>
      <c r="AC248" s="8">
        <v>0</v>
      </c>
      <c r="AD248" s="14">
        <f t="shared" si="23"/>
        <v>99.999999999999986</v>
      </c>
      <c r="AE248" s="8">
        <v>0</v>
      </c>
      <c r="AF248" s="8">
        <f>0.4/14*100</f>
        <v>2.8571428571428572</v>
      </c>
      <c r="AG248" s="8">
        <v>0</v>
      </c>
      <c r="AH248" s="8">
        <v>0</v>
      </c>
      <c r="AI248" s="39" t="s">
        <v>1531</v>
      </c>
      <c r="AJ248" s="7">
        <v>168</v>
      </c>
      <c r="AK248" s="62">
        <v>1323</v>
      </c>
      <c r="AL248" s="211">
        <f>86.6/100.822*100</f>
        <v>85.893951716887187</v>
      </c>
      <c r="AM248" s="212">
        <f>13.9/100.822*100</f>
        <v>13.786673543472656</v>
      </c>
      <c r="AN248" s="212">
        <f>0.322/100.822*100</f>
        <v>0.31937473964015789</v>
      </c>
      <c r="AO248" s="85"/>
      <c r="AP248" s="85"/>
      <c r="AQ248" s="85"/>
      <c r="AR248" s="85"/>
      <c r="AS248" s="85"/>
      <c r="AT248" s="205"/>
      <c r="AU248" s="85">
        <v>0</v>
      </c>
      <c r="AV248" s="196">
        <f>SUM(AL248:AT248)</f>
        <v>100</v>
      </c>
      <c r="AW248" s="85">
        <v>11.525</v>
      </c>
      <c r="AX248" s="85"/>
      <c r="AY248" s="39">
        <v>0.01</v>
      </c>
      <c r="AZ248" s="7">
        <v>247.2</v>
      </c>
      <c r="BA248" s="62">
        <v>0</v>
      </c>
      <c r="BB248" s="7">
        <v>2</v>
      </c>
      <c r="BC248" s="75">
        <v>7</v>
      </c>
      <c r="BD248" s="186">
        <v>249</v>
      </c>
      <c r="BE248" s="75">
        <v>20.7</v>
      </c>
      <c r="BF248" s="39">
        <v>1.9</v>
      </c>
      <c r="BG248" s="7">
        <v>2.4</v>
      </c>
      <c r="BH248" s="62">
        <v>249.1</v>
      </c>
      <c r="BI248" s="7"/>
      <c r="BJ248" s="32"/>
      <c r="BK248" s="256"/>
    </row>
    <row r="249" spans="1:63" s="19" customFormat="1" ht="23.25" customHeight="1" thickBot="1" x14ac:dyDescent="0.25">
      <c r="A249" s="7">
        <v>248</v>
      </c>
      <c r="B249" s="70">
        <v>91</v>
      </c>
      <c r="C249" s="70" t="s">
        <v>1556</v>
      </c>
      <c r="D249" s="21" t="s">
        <v>10</v>
      </c>
      <c r="E249" s="21"/>
      <c r="F249" s="99">
        <v>82.142857142857139</v>
      </c>
      <c r="G249" s="100">
        <v>10.714285714285714</v>
      </c>
      <c r="H249" s="100">
        <v>0</v>
      </c>
      <c r="I249" s="100">
        <v>0</v>
      </c>
      <c r="J249" s="100">
        <v>0</v>
      </c>
      <c r="K249" s="100">
        <v>0</v>
      </c>
      <c r="L249" s="100">
        <v>0</v>
      </c>
      <c r="M249" s="100">
        <v>0</v>
      </c>
      <c r="N249" s="100">
        <v>0</v>
      </c>
      <c r="O249" s="100">
        <v>0</v>
      </c>
      <c r="P249" s="100">
        <v>0</v>
      </c>
      <c r="Q249" s="100">
        <v>0</v>
      </c>
      <c r="R249" s="100">
        <v>0</v>
      </c>
      <c r="S249" s="101">
        <v>0</v>
      </c>
      <c r="T249" s="100">
        <v>7.1428571428571423</v>
      </c>
      <c r="U249" s="100">
        <v>0</v>
      </c>
      <c r="V249" s="100">
        <v>0</v>
      </c>
      <c r="W249" s="100">
        <v>0</v>
      </c>
      <c r="X249" s="100">
        <v>0</v>
      </c>
      <c r="Y249" s="100">
        <v>0</v>
      </c>
      <c r="Z249" s="100">
        <v>0</v>
      </c>
      <c r="AA249" s="100">
        <v>0</v>
      </c>
      <c r="AB249" s="100">
        <v>0</v>
      </c>
      <c r="AC249" s="100">
        <v>0</v>
      </c>
      <c r="AD249" s="102">
        <f t="shared" si="23"/>
        <v>99.999999999999986</v>
      </c>
      <c r="AE249" s="100">
        <v>0</v>
      </c>
      <c r="AF249" s="100">
        <v>0</v>
      </c>
      <c r="AG249" s="100">
        <v>0</v>
      </c>
      <c r="AH249" s="100">
        <v>0</v>
      </c>
      <c r="AI249" s="120"/>
      <c r="AJ249" s="98"/>
      <c r="AK249" s="105"/>
      <c r="AL249" s="206"/>
      <c r="AM249" s="194"/>
      <c r="AN249" s="194"/>
      <c r="AO249" s="194"/>
      <c r="AP249" s="194"/>
      <c r="AQ249" s="194"/>
      <c r="AR249" s="194"/>
      <c r="AS249" s="194"/>
      <c r="AT249" s="207"/>
      <c r="AU249" s="194"/>
      <c r="AV249" s="208"/>
      <c r="AW249" s="194"/>
      <c r="AX249" s="194"/>
      <c r="AY249" s="120"/>
      <c r="AZ249" s="98"/>
      <c r="BA249" s="105"/>
      <c r="BB249" s="98">
        <v>2</v>
      </c>
      <c r="BC249" s="98">
        <v>18.399999999999999</v>
      </c>
      <c r="BD249" s="98"/>
      <c r="BE249" s="98"/>
      <c r="BF249" s="120"/>
      <c r="BG249" s="98"/>
      <c r="BH249" s="105"/>
      <c r="BI249" s="98"/>
      <c r="BJ249" s="70"/>
      <c r="BK249" s="21"/>
    </row>
    <row r="250" spans="1:63" ht="23.25" customHeight="1" thickBot="1" x14ac:dyDescent="0.25">
      <c r="A250" s="62">
        <v>249</v>
      </c>
      <c r="B250" s="221">
        <v>94</v>
      </c>
      <c r="C250" s="221" t="s">
        <v>1555</v>
      </c>
      <c r="D250" s="225" t="s">
        <v>354</v>
      </c>
      <c r="E250" s="54" t="s">
        <v>241</v>
      </c>
      <c r="F250" s="16">
        <v>82.857142857142847</v>
      </c>
      <c r="G250" s="8">
        <v>10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17">
        <v>0</v>
      </c>
      <c r="T250" s="8">
        <v>7.1428571428571423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  <c r="Z250" s="8">
        <v>0</v>
      </c>
      <c r="AA250" s="8">
        <v>0</v>
      </c>
      <c r="AB250" s="8">
        <v>0</v>
      </c>
      <c r="AC250" s="8">
        <v>0</v>
      </c>
      <c r="AD250" s="14">
        <f t="shared" si="23"/>
        <v>99.999999999999986</v>
      </c>
      <c r="AE250" s="8">
        <v>0</v>
      </c>
      <c r="AF250" s="8">
        <v>0</v>
      </c>
      <c r="AG250" s="8">
        <v>0</v>
      </c>
      <c r="AH250" s="8">
        <v>0</v>
      </c>
      <c r="AI250" s="39" t="s">
        <v>1531</v>
      </c>
      <c r="AJ250" s="7">
        <v>24</v>
      </c>
      <c r="AK250" s="62">
        <v>1323</v>
      </c>
      <c r="AL250" s="193">
        <f>70.4/98.2*100</f>
        <v>71.690427698574339</v>
      </c>
      <c r="AM250" s="192">
        <f>22.4/98.2*100</f>
        <v>22.810590631364562</v>
      </c>
      <c r="AN250" s="192">
        <f>5.4/98.2*100</f>
        <v>5.4989816700610996</v>
      </c>
      <c r="AO250" s="192"/>
      <c r="AP250" s="192">
        <v>0</v>
      </c>
      <c r="AQ250" s="85"/>
      <c r="AR250" s="85"/>
      <c r="AS250" s="85"/>
      <c r="AT250" s="205"/>
      <c r="AU250" s="85">
        <v>1</v>
      </c>
      <c r="AV250" s="196">
        <f t="shared" ref="AV250:AV267" si="25">SUM(AL250:AT250)</f>
        <v>100</v>
      </c>
      <c r="AW250" s="85"/>
      <c r="AX250" s="85"/>
      <c r="AY250" s="39"/>
      <c r="AZ250" s="7"/>
      <c r="BA250" s="62"/>
      <c r="BB250" s="7"/>
      <c r="BC250" s="7"/>
      <c r="BD250" s="7"/>
      <c r="BE250" s="7"/>
      <c r="BF250" s="39"/>
      <c r="BG250" s="7"/>
      <c r="BH250" s="62"/>
      <c r="BI250" s="7"/>
      <c r="BJ250" s="32"/>
      <c r="BK250" s="256"/>
    </row>
    <row r="251" spans="1:63" ht="23.25" customHeight="1" thickBot="1" x14ac:dyDescent="0.25">
      <c r="A251" s="7">
        <v>250</v>
      </c>
      <c r="B251" s="221"/>
      <c r="C251" s="221"/>
      <c r="D251" s="223"/>
      <c r="E251" s="54" t="s">
        <v>249</v>
      </c>
      <c r="F251" s="16">
        <v>81.690140845070431</v>
      </c>
      <c r="G251" s="8">
        <v>9.8591549295774641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17">
        <v>0</v>
      </c>
      <c r="T251" s="8">
        <v>8.4507042253521121</v>
      </c>
      <c r="U251" s="8">
        <v>0</v>
      </c>
      <c r="V251" s="8">
        <v>0</v>
      </c>
      <c r="W251" s="8">
        <v>0</v>
      </c>
      <c r="X251" s="8">
        <v>0</v>
      </c>
      <c r="Y251" s="8">
        <v>0</v>
      </c>
      <c r="Z251" s="8">
        <v>0</v>
      </c>
      <c r="AA251" s="8">
        <v>0</v>
      </c>
      <c r="AB251" s="8">
        <v>0</v>
      </c>
      <c r="AC251" s="8">
        <v>0</v>
      </c>
      <c r="AD251" s="14">
        <f t="shared" si="23"/>
        <v>100.00000000000001</v>
      </c>
      <c r="AE251" s="8">
        <v>0</v>
      </c>
      <c r="AF251" s="8">
        <v>0</v>
      </c>
      <c r="AG251" s="8">
        <v>0</v>
      </c>
      <c r="AH251" s="8">
        <v>0</v>
      </c>
      <c r="AI251" s="39" t="s">
        <v>1531</v>
      </c>
      <c r="AJ251" s="7">
        <v>24</v>
      </c>
      <c r="AK251" s="62">
        <v>1323</v>
      </c>
      <c r="AL251" s="193">
        <f>65.4/98.7*100</f>
        <v>66.261398176291792</v>
      </c>
      <c r="AM251" s="192">
        <f>23.1/98.7*100</f>
        <v>23.404255319148938</v>
      </c>
      <c r="AN251" s="192">
        <f>10.2/98.7*100</f>
        <v>10.334346504559269</v>
      </c>
      <c r="AO251" s="192"/>
      <c r="AP251" s="192">
        <v>0</v>
      </c>
      <c r="AQ251" s="85"/>
      <c r="AR251" s="85"/>
      <c r="AS251" s="85"/>
      <c r="AT251" s="205"/>
      <c r="AU251" s="85">
        <v>1</v>
      </c>
      <c r="AV251" s="196">
        <f t="shared" si="25"/>
        <v>99.999999999999986</v>
      </c>
      <c r="AW251" s="85"/>
      <c r="AX251" s="85"/>
      <c r="AY251" s="39"/>
      <c r="AZ251" s="7"/>
      <c r="BA251" s="62"/>
      <c r="BB251" s="7"/>
      <c r="BC251" s="7"/>
      <c r="BD251" s="7"/>
      <c r="BE251" s="7"/>
      <c r="BF251" s="39"/>
      <c r="BG251" s="7"/>
      <c r="BH251" s="62"/>
      <c r="BI251" s="7"/>
      <c r="BJ251" s="32"/>
      <c r="BK251" s="256"/>
    </row>
    <row r="252" spans="1:63" ht="23.25" customHeight="1" thickBot="1" x14ac:dyDescent="0.25">
      <c r="A252" s="62">
        <v>251</v>
      </c>
      <c r="B252" s="221"/>
      <c r="C252" s="221"/>
      <c r="D252" s="223"/>
      <c r="E252" s="54" t="s">
        <v>244</v>
      </c>
      <c r="F252" s="16">
        <v>80</v>
      </c>
      <c r="G252" s="8">
        <v>9.6551724137931032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17">
        <v>0</v>
      </c>
      <c r="T252" s="8">
        <v>10.344827586206897</v>
      </c>
      <c r="U252" s="8">
        <v>0</v>
      </c>
      <c r="V252" s="8">
        <v>0</v>
      </c>
      <c r="W252" s="8">
        <v>0</v>
      </c>
      <c r="X252" s="8">
        <v>0</v>
      </c>
      <c r="Y252" s="8">
        <v>0</v>
      </c>
      <c r="Z252" s="8">
        <v>0</v>
      </c>
      <c r="AA252" s="8">
        <v>0</v>
      </c>
      <c r="AB252" s="8">
        <v>0</v>
      </c>
      <c r="AC252" s="8">
        <v>0</v>
      </c>
      <c r="AD252" s="14">
        <f t="shared" si="23"/>
        <v>100</v>
      </c>
      <c r="AE252" s="8">
        <v>0</v>
      </c>
      <c r="AF252" s="8">
        <v>0</v>
      </c>
      <c r="AG252" s="8">
        <v>0</v>
      </c>
      <c r="AH252" s="8">
        <v>0</v>
      </c>
      <c r="AI252" s="39" t="s">
        <v>1531</v>
      </c>
      <c r="AJ252" s="7">
        <v>24</v>
      </c>
      <c r="AK252" s="62">
        <v>1323</v>
      </c>
      <c r="AL252" s="193">
        <f>76.1/98.5*100</f>
        <v>77.258883248730953</v>
      </c>
      <c r="AM252" s="192">
        <f>9.6/98.5*100</f>
        <v>9.7461928934010142</v>
      </c>
      <c r="AN252" s="192">
        <f>2.5/98.5*100</f>
        <v>2.5380710659898478</v>
      </c>
      <c r="AO252" s="192"/>
      <c r="AP252" s="192">
        <f>10.3/98.5*100</f>
        <v>10.456852791878173</v>
      </c>
      <c r="AQ252" s="85"/>
      <c r="AR252" s="85"/>
      <c r="AS252" s="85"/>
      <c r="AT252" s="205"/>
      <c r="AU252" s="85">
        <v>1</v>
      </c>
      <c r="AV252" s="196">
        <f t="shared" si="25"/>
        <v>100</v>
      </c>
      <c r="AW252" s="85"/>
      <c r="AX252" s="85"/>
      <c r="AY252" s="39"/>
      <c r="AZ252" s="7"/>
      <c r="BA252" s="62"/>
      <c r="BB252" s="7"/>
      <c r="BC252" s="7"/>
      <c r="BD252" s="7"/>
      <c r="BE252" s="7"/>
      <c r="BF252" s="39"/>
      <c r="BG252" s="7"/>
      <c r="BH252" s="62"/>
      <c r="BI252" s="7"/>
      <c r="BJ252" s="32"/>
      <c r="BK252" s="256"/>
    </row>
    <row r="253" spans="1:63" ht="23.25" customHeight="1" thickBot="1" x14ac:dyDescent="0.25">
      <c r="A253" s="7">
        <v>252</v>
      </c>
      <c r="B253" s="221"/>
      <c r="C253" s="221"/>
      <c r="D253" s="223"/>
      <c r="E253" s="54" t="s">
        <v>280</v>
      </c>
      <c r="F253" s="16">
        <v>78.911564625850332</v>
      </c>
      <c r="G253" s="8">
        <v>9.5238095238095237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17">
        <v>0</v>
      </c>
      <c r="T253" s="8">
        <v>11.564625850340136</v>
      </c>
      <c r="U253" s="8">
        <v>0</v>
      </c>
      <c r="V253" s="8">
        <v>0</v>
      </c>
      <c r="W253" s="8">
        <v>0</v>
      </c>
      <c r="X253" s="8">
        <v>0</v>
      </c>
      <c r="Y253" s="8">
        <v>0</v>
      </c>
      <c r="Z253" s="8">
        <v>0</v>
      </c>
      <c r="AA253" s="8">
        <v>0</v>
      </c>
      <c r="AB253" s="8">
        <v>0</v>
      </c>
      <c r="AC253" s="8">
        <v>0</v>
      </c>
      <c r="AD253" s="14">
        <f t="shared" si="23"/>
        <v>99.999999999999986</v>
      </c>
      <c r="AE253" s="8">
        <v>0</v>
      </c>
      <c r="AF253" s="8">
        <v>0</v>
      </c>
      <c r="AG253" s="8">
        <v>0</v>
      </c>
      <c r="AH253" s="8">
        <v>0</v>
      </c>
      <c r="AI253" s="39" t="s">
        <v>1531</v>
      </c>
      <c r="AJ253" s="7">
        <v>24</v>
      </c>
      <c r="AK253" s="62">
        <v>1323</v>
      </c>
      <c r="AL253" s="193">
        <f>75/93.7*100</f>
        <v>80.042689434364988</v>
      </c>
      <c r="AM253" s="192">
        <f>5.6/93.7*100</f>
        <v>5.9765208110992525</v>
      </c>
      <c r="AN253" s="192">
        <v>0</v>
      </c>
      <c r="AO253" s="192"/>
      <c r="AP253" s="192">
        <f>13.1/93.7*100</f>
        <v>13.980789754535753</v>
      </c>
      <c r="AQ253" s="85"/>
      <c r="AR253" s="85"/>
      <c r="AS253" s="85"/>
      <c r="AT253" s="205"/>
      <c r="AU253" s="85">
        <v>1</v>
      </c>
      <c r="AV253" s="196">
        <f t="shared" si="25"/>
        <v>99.999999999999986</v>
      </c>
      <c r="AW253" s="85"/>
      <c r="AX253" s="85"/>
      <c r="AY253" s="39"/>
      <c r="AZ253" s="7"/>
      <c r="BA253" s="62"/>
      <c r="BB253" s="7" t="s">
        <v>623</v>
      </c>
      <c r="BC253" s="7" t="s">
        <v>663</v>
      </c>
      <c r="BD253" s="75" t="s">
        <v>664</v>
      </c>
      <c r="BE253" s="7" t="s">
        <v>672</v>
      </c>
      <c r="BF253" s="39"/>
      <c r="BG253" s="7"/>
      <c r="BH253" s="62"/>
      <c r="BI253" s="7"/>
      <c r="BJ253" s="32"/>
      <c r="BK253" s="256"/>
    </row>
    <row r="254" spans="1:63" ht="23.25" customHeight="1" thickBot="1" x14ac:dyDescent="0.25">
      <c r="A254" s="62">
        <v>253</v>
      </c>
      <c r="B254" s="221"/>
      <c r="C254" s="221"/>
      <c r="D254" s="223"/>
      <c r="E254" s="54" t="s">
        <v>272</v>
      </c>
      <c r="F254" s="16">
        <v>77.333333333333329</v>
      </c>
      <c r="G254" s="8">
        <v>9.3333333333333321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17">
        <v>0</v>
      </c>
      <c r="T254" s="8">
        <v>13.333333333333334</v>
      </c>
      <c r="U254" s="8">
        <v>0</v>
      </c>
      <c r="V254" s="8">
        <v>0</v>
      </c>
      <c r="W254" s="8">
        <v>0</v>
      </c>
      <c r="X254" s="8">
        <v>0</v>
      </c>
      <c r="Y254" s="8">
        <v>0</v>
      </c>
      <c r="Z254" s="8">
        <v>0</v>
      </c>
      <c r="AA254" s="8">
        <v>0</v>
      </c>
      <c r="AB254" s="8">
        <v>0</v>
      </c>
      <c r="AC254" s="8">
        <v>0</v>
      </c>
      <c r="AD254" s="14">
        <f t="shared" si="23"/>
        <v>99.999999999999986</v>
      </c>
      <c r="AE254" s="8">
        <v>0</v>
      </c>
      <c r="AF254" s="8">
        <v>0</v>
      </c>
      <c r="AG254" s="8">
        <v>0</v>
      </c>
      <c r="AH254" s="8">
        <v>0</v>
      </c>
      <c r="AI254" s="39" t="s">
        <v>1531</v>
      </c>
      <c r="AJ254" s="7">
        <v>24</v>
      </c>
      <c r="AK254" s="62">
        <v>1323</v>
      </c>
      <c r="AL254" s="193">
        <f>72.2/99.6*100</f>
        <v>72.489959839357425</v>
      </c>
      <c r="AM254" s="192">
        <f>6.7/99.6*100</f>
        <v>6.7269076305220885</v>
      </c>
      <c r="AN254" s="192">
        <v>0</v>
      </c>
      <c r="AO254" s="192"/>
      <c r="AP254" s="192">
        <f>20.7/99.6*100</f>
        <v>20.783132530120483</v>
      </c>
      <c r="AQ254" s="85"/>
      <c r="AR254" s="85"/>
      <c r="AS254" s="85"/>
      <c r="AT254" s="205"/>
      <c r="AU254" s="85">
        <v>1</v>
      </c>
      <c r="AV254" s="196">
        <f t="shared" si="25"/>
        <v>100</v>
      </c>
      <c r="AW254" s="85"/>
      <c r="AX254" s="85"/>
      <c r="AY254" s="39"/>
      <c r="AZ254" s="7"/>
      <c r="BA254" s="62"/>
      <c r="BB254" s="7"/>
      <c r="BC254" s="7"/>
      <c r="BD254" s="75"/>
      <c r="BE254" s="7"/>
      <c r="BF254" s="39"/>
      <c r="BG254" s="7"/>
      <c r="BH254" s="62"/>
      <c r="BI254" s="7"/>
      <c r="BJ254" s="32"/>
      <c r="BK254" s="256"/>
    </row>
    <row r="255" spans="1:63" ht="23.25" customHeight="1" thickBot="1" x14ac:dyDescent="0.25">
      <c r="A255" s="7">
        <v>254</v>
      </c>
      <c r="B255" s="221"/>
      <c r="C255" s="221"/>
      <c r="D255" s="223"/>
      <c r="E255" s="54" t="s">
        <v>271</v>
      </c>
      <c r="F255" s="16">
        <v>76.315789473684205</v>
      </c>
      <c r="G255" s="8">
        <v>9.2105263157894726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17">
        <v>0</v>
      </c>
      <c r="T255" s="8">
        <v>14.473684210526317</v>
      </c>
      <c r="U255" s="8">
        <v>0</v>
      </c>
      <c r="V255" s="8">
        <v>0</v>
      </c>
      <c r="W255" s="8">
        <v>0</v>
      </c>
      <c r="X255" s="8">
        <v>0</v>
      </c>
      <c r="Y255" s="8">
        <v>0</v>
      </c>
      <c r="Z255" s="8">
        <v>0</v>
      </c>
      <c r="AA255" s="8">
        <v>0</v>
      </c>
      <c r="AB255" s="8">
        <v>0</v>
      </c>
      <c r="AC255" s="8">
        <v>0</v>
      </c>
      <c r="AD255" s="14">
        <f t="shared" si="23"/>
        <v>99.999999999999986</v>
      </c>
      <c r="AE255" s="8">
        <v>0</v>
      </c>
      <c r="AF255" s="8">
        <v>0</v>
      </c>
      <c r="AG255" s="8">
        <v>0</v>
      </c>
      <c r="AH255" s="8">
        <v>0</v>
      </c>
      <c r="AI255" s="39" t="s">
        <v>1531</v>
      </c>
      <c r="AJ255" s="7">
        <v>24</v>
      </c>
      <c r="AK255" s="62">
        <v>1323</v>
      </c>
      <c r="AL255" s="193">
        <f>70/112.5*100</f>
        <v>62.222222222222221</v>
      </c>
      <c r="AM255" s="192">
        <f>17.4/112.5*100</f>
        <v>15.466666666666665</v>
      </c>
      <c r="AN255" s="192">
        <v>0</v>
      </c>
      <c r="AO255" s="192"/>
      <c r="AP255" s="192">
        <f>25.1/112.5*100</f>
        <v>22.311111111111114</v>
      </c>
      <c r="AQ255" s="85"/>
      <c r="AR255" s="85"/>
      <c r="AS255" s="85"/>
      <c r="AT255" s="205"/>
      <c r="AU255" s="85">
        <v>1</v>
      </c>
      <c r="AV255" s="196">
        <f t="shared" si="25"/>
        <v>100</v>
      </c>
      <c r="AW255" s="85"/>
      <c r="AX255" s="85"/>
      <c r="AY255" s="39"/>
      <c r="AZ255" s="7"/>
      <c r="BA255" s="62"/>
      <c r="BB255" s="7"/>
      <c r="BC255" s="7"/>
      <c r="BD255" s="75"/>
      <c r="BE255" s="7"/>
      <c r="BF255" s="39"/>
      <c r="BG255" s="7"/>
      <c r="BH255" s="62"/>
      <c r="BI255" s="7"/>
      <c r="BJ255" s="32"/>
      <c r="BK255" s="256"/>
    </row>
    <row r="256" spans="1:63" ht="23.25" customHeight="1" thickBot="1" x14ac:dyDescent="0.25">
      <c r="A256" s="62">
        <v>255</v>
      </c>
      <c r="B256" s="221"/>
      <c r="C256" s="221"/>
      <c r="D256" s="223" t="s">
        <v>354</v>
      </c>
      <c r="E256" s="54" t="s">
        <v>241</v>
      </c>
      <c r="F256" s="16">
        <v>82.857142857142847</v>
      </c>
      <c r="G256" s="8">
        <v>10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17">
        <v>0</v>
      </c>
      <c r="T256" s="8">
        <v>7.1428571428571423</v>
      </c>
      <c r="U256" s="8">
        <v>0</v>
      </c>
      <c r="V256" s="8">
        <v>0</v>
      </c>
      <c r="W256" s="8">
        <v>0</v>
      </c>
      <c r="X256" s="8">
        <v>0</v>
      </c>
      <c r="Y256" s="8">
        <v>0</v>
      </c>
      <c r="Z256" s="8">
        <v>0</v>
      </c>
      <c r="AA256" s="8">
        <v>0</v>
      </c>
      <c r="AB256" s="8">
        <v>0</v>
      </c>
      <c r="AC256" s="8">
        <v>0</v>
      </c>
      <c r="AD256" s="14">
        <f t="shared" si="23"/>
        <v>99.999999999999986</v>
      </c>
      <c r="AE256" s="8">
        <v>0</v>
      </c>
      <c r="AF256" s="8">
        <v>0</v>
      </c>
      <c r="AG256" s="8">
        <v>0</v>
      </c>
      <c r="AH256" s="8">
        <v>0</v>
      </c>
      <c r="AI256" s="39" t="s">
        <v>1531</v>
      </c>
      <c r="AJ256" s="7">
        <v>72</v>
      </c>
      <c r="AK256" s="62">
        <v>1323</v>
      </c>
      <c r="AL256" s="193">
        <f>83.1/108.9*100</f>
        <v>76.308539944903572</v>
      </c>
      <c r="AM256" s="192">
        <f>14.4/108.9*100</f>
        <v>13.223140495867769</v>
      </c>
      <c r="AN256" s="192">
        <f>11.4/108.9*100</f>
        <v>10.46831955922865</v>
      </c>
      <c r="AO256" s="192"/>
      <c r="AP256" s="192">
        <v>0</v>
      </c>
      <c r="AQ256" s="85"/>
      <c r="AR256" s="85"/>
      <c r="AS256" s="85"/>
      <c r="AT256" s="205"/>
      <c r="AU256" s="85">
        <v>1</v>
      </c>
      <c r="AV256" s="196">
        <f t="shared" si="25"/>
        <v>99.999999999999986</v>
      </c>
      <c r="AW256" s="85"/>
      <c r="AX256" s="85"/>
      <c r="AY256" s="39"/>
      <c r="AZ256" s="7"/>
      <c r="BA256" s="62"/>
      <c r="BB256" s="7" t="s">
        <v>622</v>
      </c>
      <c r="BC256" s="7" t="s">
        <v>662</v>
      </c>
      <c r="BD256" s="75" t="s">
        <v>665</v>
      </c>
      <c r="BE256" s="7" t="s">
        <v>673</v>
      </c>
      <c r="BF256" s="39"/>
      <c r="BG256" s="7"/>
      <c r="BH256" s="62"/>
      <c r="BI256" s="7"/>
      <c r="BJ256" s="32"/>
      <c r="BK256" s="256"/>
    </row>
    <row r="257" spans="1:63" ht="23.25" customHeight="1" thickBot="1" x14ac:dyDescent="0.25">
      <c r="A257" s="7">
        <v>256</v>
      </c>
      <c r="B257" s="221"/>
      <c r="C257" s="221"/>
      <c r="D257" s="223"/>
      <c r="E257" s="54" t="s">
        <v>249</v>
      </c>
      <c r="F257" s="16">
        <v>81.690140845070431</v>
      </c>
      <c r="G257" s="8">
        <v>9.8591549295774641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17">
        <v>0</v>
      </c>
      <c r="T257" s="8">
        <v>8.4507042253521121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  <c r="Z257" s="8">
        <v>0</v>
      </c>
      <c r="AA257" s="8">
        <v>0</v>
      </c>
      <c r="AB257" s="8">
        <v>0</v>
      </c>
      <c r="AC257" s="8">
        <v>0</v>
      </c>
      <c r="AD257" s="14">
        <f t="shared" si="23"/>
        <v>100.00000000000001</v>
      </c>
      <c r="AE257" s="8">
        <v>0</v>
      </c>
      <c r="AF257" s="8">
        <v>0</v>
      </c>
      <c r="AG257" s="8">
        <v>0</v>
      </c>
      <c r="AH257" s="8">
        <v>0</v>
      </c>
      <c r="AI257" s="39" t="s">
        <v>1531</v>
      </c>
      <c r="AJ257" s="7">
        <v>72</v>
      </c>
      <c r="AK257" s="62">
        <v>1323</v>
      </c>
      <c r="AL257" s="193">
        <f>84.3/94.8*100</f>
        <v>88.924050632911388</v>
      </c>
      <c r="AM257" s="192">
        <f>6.2/94.8*100</f>
        <v>6.5400843881856545</v>
      </c>
      <c r="AN257" s="192">
        <f>4.3/94.8*100</f>
        <v>4.5358649789029535</v>
      </c>
      <c r="AO257" s="192"/>
      <c r="AP257" s="192">
        <v>0</v>
      </c>
      <c r="AQ257" s="85"/>
      <c r="AR257" s="85"/>
      <c r="AS257" s="85"/>
      <c r="AT257" s="205"/>
      <c r="AU257" s="85">
        <v>1</v>
      </c>
      <c r="AV257" s="196">
        <f t="shared" si="25"/>
        <v>99.999999999999986</v>
      </c>
      <c r="AW257" s="85"/>
      <c r="AX257" s="85"/>
      <c r="AY257" s="39"/>
      <c r="AZ257" s="7"/>
      <c r="BA257" s="62"/>
      <c r="BB257" s="7" t="s">
        <v>622</v>
      </c>
      <c r="BC257" s="7" t="s">
        <v>661</v>
      </c>
      <c r="BD257" s="75" t="s">
        <v>666</v>
      </c>
      <c r="BE257" s="7" t="s">
        <v>674</v>
      </c>
      <c r="BF257" s="39"/>
      <c r="BG257" s="7"/>
      <c r="BH257" s="62"/>
      <c r="BI257" s="7"/>
      <c r="BJ257" s="32"/>
      <c r="BK257" s="256"/>
    </row>
    <row r="258" spans="1:63" ht="23.25" customHeight="1" thickBot="1" x14ac:dyDescent="0.25">
      <c r="A258" s="62">
        <v>257</v>
      </c>
      <c r="B258" s="221"/>
      <c r="C258" s="221"/>
      <c r="D258" s="223"/>
      <c r="E258" s="54" t="s">
        <v>244</v>
      </c>
      <c r="F258" s="16">
        <v>80</v>
      </c>
      <c r="G258" s="8">
        <v>9.6551724137931032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17">
        <v>0</v>
      </c>
      <c r="T258" s="8">
        <v>10.344827586206897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0</v>
      </c>
      <c r="AA258" s="8">
        <v>0</v>
      </c>
      <c r="AB258" s="8">
        <v>0</v>
      </c>
      <c r="AC258" s="8">
        <v>0</v>
      </c>
      <c r="AD258" s="14">
        <f t="shared" si="23"/>
        <v>100</v>
      </c>
      <c r="AE258" s="8">
        <v>0</v>
      </c>
      <c r="AF258" s="8">
        <v>0</v>
      </c>
      <c r="AG258" s="8">
        <v>0</v>
      </c>
      <c r="AH258" s="8">
        <v>0</v>
      </c>
      <c r="AI258" s="39" t="s">
        <v>1531</v>
      </c>
      <c r="AJ258" s="7">
        <v>72</v>
      </c>
      <c r="AK258" s="62">
        <v>1323</v>
      </c>
      <c r="AL258" s="193">
        <f>83.5/98.3*100</f>
        <v>84.94404883011191</v>
      </c>
      <c r="AM258" s="192">
        <f>5.5/98.3*100</f>
        <v>5.5951169888097656</v>
      </c>
      <c r="AN258" s="192">
        <f>2.6/98.3*100</f>
        <v>2.6449643947100712</v>
      </c>
      <c r="AO258" s="192"/>
      <c r="AP258" s="192">
        <f>6.7/98.3*100</f>
        <v>6.8158697863682605</v>
      </c>
      <c r="AQ258" s="85"/>
      <c r="AR258" s="85"/>
      <c r="AS258" s="85"/>
      <c r="AT258" s="205"/>
      <c r="AU258" s="85">
        <v>1</v>
      </c>
      <c r="AV258" s="196">
        <f t="shared" si="25"/>
        <v>100</v>
      </c>
      <c r="AW258" s="85"/>
      <c r="AX258" s="85"/>
      <c r="AY258" s="39"/>
      <c r="AZ258" s="7"/>
      <c r="BA258" s="62"/>
      <c r="BB258" s="7" t="s">
        <v>622</v>
      </c>
      <c r="BC258" s="7" t="s">
        <v>660</v>
      </c>
      <c r="BD258" s="75" t="s">
        <v>1947</v>
      </c>
      <c r="BE258" s="7" t="s">
        <v>675</v>
      </c>
      <c r="BF258" s="39"/>
      <c r="BG258" s="7"/>
      <c r="BH258" s="62"/>
      <c r="BI258" s="7"/>
      <c r="BJ258" s="32"/>
      <c r="BK258" s="256"/>
    </row>
    <row r="259" spans="1:63" ht="23.25" customHeight="1" thickBot="1" x14ac:dyDescent="0.25">
      <c r="A259" s="7">
        <v>258</v>
      </c>
      <c r="B259" s="221"/>
      <c r="C259" s="221"/>
      <c r="D259" s="223"/>
      <c r="E259" s="54" t="s">
        <v>280</v>
      </c>
      <c r="F259" s="16">
        <v>78.911564625850332</v>
      </c>
      <c r="G259" s="8">
        <v>9.5238095238095237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17">
        <v>0</v>
      </c>
      <c r="T259" s="8">
        <v>11.564625850340136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0</v>
      </c>
      <c r="AA259" s="8">
        <v>0</v>
      </c>
      <c r="AB259" s="8">
        <v>0</v>
      </c>
      <c r="AC259" s="8">
        <v>0</v>
      </c>
      <c r="AD259" s="14">
        <f t="shared" si="23"/>
        <v>99.999999999999986</v>
      </c>
      <c r="AE259" s="8">
        <v>0</v>
      </c>
      <c r="AF259" s="8">
        <v>0</v>
      </c>
      <c r="AG259" s="8">
        <v>0</v>
      </c>
      <c r="AH259" s="8">
        <v>0</v>
      </c>
      <c r="AI259" s="39" t="s">
        <v>1531</v>
      </c>
      <c r="AJ259" s="7">
        <v>72</v>
      </c>
      <c r="AK259" s="62">
        <v>1323</v>
      </c>
      <c r="AL259" s="193">
        <f>84.4/100.4*100</f>
        <v>84.063745019920319</v>
      </c>
      <c r="AM259" s="192">
        <f>4.4/100.4*100</f>
        <v>4.3824701195219129</v>
      </c>
      <c r="AN259" s="192">
        <v>0</v>
      </c>
      <c r="AO259" s="192"/>
      <c r="AP259" s="192">
        <f>11.6/100.4*100</f>
        <v>11.553784860557768</v>
      </c>
      <c r="AQ259" s="85"/>
      <c r="AR259" s="85"/>
      <c r="AS259" s="85"/>
      <c r="AT259" s="205"/>
      <c r="AU259" s="85">
        <v>1</v>
      </c>
      <c r="AV259" s="196">
        <f t="shared" si="25"/>
        <v>100</v>
      </c>
      <c r="AW259" s="85"/>
      <c r="AX259" s="85"/>
      <c r="AY259" s="39"/>
      <c r="AZ259" s="7"/>
      <c r="BA259" s="62"/>
      <c r="BB259" s="7" t="s">
        <v>622</v>
      </c>
      <c r="BC259" s="7" t="s">
        <v>659</v>
      </c>
      <c r="BD259" s="75" t="s">
        <v>667</v>
      </c>
      <c r="BE259" s="85" t="s">
        <v>1746</v>
      </c>
      <c r="BF259" s="39"/>
      <c r="BG259" s="7"/>
      <c r="BH259" s="62"/>
      <c r="BI259" s="7"/>
      <c r="BJ259" s="32"/>
      <c r="BK259" s="256"/>
    </row>
    <row r="260" spans="1:63" ht="23.25" customHeight="1" thickBot="1" x14ac:dyDescent="0.25">
      <c r="A260" s="62">
        <v>259</v>
      </c>
      <c r="B260" s="221"/>
      <c r="C260" s="221"/>
      <c r="D260" s="223"/>
      <c r="E260" s="54" t="s">
        <v>272</v>
      </c>
      <c r="F260" s="16">
        <v>77.333333333333329</v>
      </c>
      <c r="G260" s="8">
        <v>9.3333333333333321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17">
        <v>0</v>
      </c>
      <c r="T260" s="8">
        <v>13.333333333333334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  <c r="AB260" s="8">
        <v>0</v>
      </c>
      <c r="AC260" s="8">
        <v>0</v>
      </c>
      <c r="AD260" s="14">
        <f t="shared" si="23"/>
        <v>99.999999999999986</v>
      </c>
      <c r="AE260" s="8">
        <v>0</v>
      </c>
      <c r="AF260" s="8">
        <v>0</v>
      </c>
      <c r="AG260" s="8">
        <v>0</v>
      </c>
      <c r="AH260" s="8">
        <v>0</v>
      </c>
      <c r="AI260" s="39" t="s">
        <v>1531</v>
      </c>
      <c r="AJ260" s="7">
        <v>72</v>
      </c>
      <c r="AK260" s="62">
        <v>1323</v>
      </c>
      <c r="AL260" s="193">
        <v>80.8</v>
      </c>
      <c r="AM260" s="192">
        <v>2.9</v>
      </c>
      <c r="AN260" s="192">
        <v>0</v>
      </c>
      <c r="AO260" s="192"/>
      <c r="AP260" s="192">
        <v>16.3</v>
      </c>
      <c r="AQ260" s="85"/>
      <c r="AR260" s="85"/>
      <c r="AS260" s="85"/>
      <c r="AT260" s="205"/>
      <c r="AU260" s="85">
        <v>1</v>
      </c>
      <c r="AV260" s="196">
        <f t="shared" si="25"/>
        <v>100</v>
      </c>
      <c r="AW260" s="85"/>
      <c r="AX260" s="85"/>
      <c r="AY260" s="39"/>
      <c r="AZ260" s="7"/>
      <c r="BA260" s="62"/>
      <c r="BB260" s="7"/>
      <c r="BC260" s="7"/>
      <c r="BD260" s="75"/>
      <c r="BE260" s="7"/>
      <c r="BF260" s="39"/>
      <c r="BG260" s="7"/>
      <c r="BH260" s="62"/>
      <c r="BI260" s="7"/>
      <c r="BJ260" s="32"/>
      <c r="BK260" s="256"/>
    </row>
    <row r="261" spans="1:63" ht="23.25" customHeight="1" thickBot="1" x14ac:dyDescent="0.25">
      <c r="A261" s="7">
        <v>260</v>
      </c>
      <c r="B261" s="221"/>
      <c r="C261" s="221"/>
      <c r="D261" s="223"/>
      <c r="E261" s="54" t="s">
        <v>271</v>
      </c>
      <c r="F261" s="16">
        <v>76.315789473684205</v>
      </c>
      <c r="G261" s="8">
        <v>9.2105263157894726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17">
        <v>0</v>
      </c>
      <c r="T261" s="8">
        <v>14.473684210526317</v>
      </c>
      <c r="U261" s="8">
        <v>0</v>
      </c>
      <c r="V261" s="8">
        <v>0</v>
      </c>
      <c r="W261" s="8">
        <v>0</v>
      </c>
      <c r="X261" s="8">
        <v>0</v>
      </c>
      <c r="Y261" s="8">
        <v>0</v>
      </c>
      <c r="Z261" s="8">
        <v>0</v>
      </c>
      <c r="AA261" s="8">
        <v>0</v>
      </c>
      <c r="AB261" s="8">
        <v>0</v>
      </c>
      <c r="AC261" s="8">
        <v>0</v>
      </c>
      <c r="AD261" s="14">
        <f t="shared" si="23"/>
        <v>99.999999999999986</v>
      </c>
      <c r="AE261" s="8">
        <v>0</v>
      </c>
      <c r="AF261" s="8">
        <v>0</v>
      </c>
      <c r="AG261" s="8">
        <v>0</v>
      </c>
      <c r="AH261" s="8">
        <v>0</v>
      </c>
      <c r="AI261" s="39" t="s">
        <v>1531</v>
      </c>
      <c r="AJ261" s="7">
        <v>72</v>
      </c>
      <c r="AK261" s="62">
        <v>1323</v>
      </c>
      <c r="AL261" s="193">
        <v>51.1</v>
      </c>
      <c r="AM261" s="192">
        <v>23.7</v>
      </c>
      <c r="AN261" s="192">
        <v>0</v>
      </c>
      <c r="AO261" s="192"/>
      <c r="AP261" s="192">
        <v>25.2</v>
      </c>
      <c r="AQ261" s="85"/>
      <c r="AR261" s="85"/>
      <c r="AS261" s="85"/>
      <c r="AT261" s="205"/>
      <c r="AU261" s="85">
        <v>1</v>
      </c>
      <c r="AV261" s="196">
        <f t="shared" si="25"/>
        <v>100</v>
      </c>
      <c r="AW261" s="85"/>
      <c r="AX261" s="85"/>
      <c r="AY261" s="39"/>
      <c r="AZ261" s="7"/>
      <c r="BA261" s="62"/>
      <c r="BB261" s="7" t="s">
        <v>622</v>
      </c>
      <c r="BC261" s="7" t="s">
        <v>658</v>
      </c>
      <c r="BD261" s="75" t="s">
        <v>668</v>
      </c>
      <c r="BE261" s="7" t="s">
        <v>676</v>
      </c>
      <c r="BF261" s="39"/>
      <c r="BG261" s="7"/>
      <c r="BH261" s="62"/>
      <c r="BI261" s="7"/>
      <c r="BJ261" s="32"/>
      <c r="BK261" s="256"/>
    </row>
    <row r="262" spans="1:63" ht="23.25" customHeight="1" thickBot="1" x14ac:dyDescent="0.25">
      <c r="A262" s="62">
        <v>261</v>
      </c>
      <c r="B262" s="221"/>
      <c r="C262" s="221"/>
      <c r="D262" s="223" t="s">
        <v>354</v>
      </c>
      <c r="E262" s="54" t="s">
        <v>241</v>
      </c>
      <c r="F262" s="16">
        <v>82.857142857142847</v>
      </c>
      <c r="G262" s="8">
        <v>10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17">
        <v>0</v>
      </c>
      <c r="T262" s="8">
        <v>7.1428571428571423</v>
      </c>
      <c r="U262" s="8">
        <v>0</v>
      </c>
      <c r="V262" s="8">
        <v>0</v>
      </c>
      <c r="W262" s="8">
        <v>0</v>
      </c>
      <c r="X262" s="8">
        <v>0</v>
      </c>
      <c r="Y262" s="8">
        <v>0</v>
      </c>
      <c r="Z262" s="8">
        <v>0</v>
      </c>
      <c r="AA262" s="8">
        <v>0</v>
      </c>
      <c r="AB262" s="8">
        <v>0</v>
      </c>
      <c r="AC262" s="8">
        <v>0</v>
      </c>
      <c r="AD262" s="14">
        <f t="shared" si="23"/>
        <v>99.999999999999986</v>
      </c>
      <c r="AE262" s="8">
        <v>0</v>
      </c>
      <c r="AF262" s="8">
        <v>0</v>
      </c>
      <c r="AG262" s="8">
        <v>0</v>
      </c>
      <c r="AH262" s="8">
        <v>0</v>
      </c>
      <c r="AI262" s="39" t="s">
        <v>1531</v>
      </c>
      <c r="AJ262" s="7">
        <v>120</v>
      </c>
      <c r="AK262" s="62">
        <v>1323</v>
      </c>
      <c r="AL262" s="193">
        <v>97.2</v>
      </c>
      <c r="AM262" s="192">
        <v>2.8</v>
      </c>
      <c r="AN262" s="192">
        <v>0</v>
      </c>
      <c r="AO262" s="192"/>
      <c r="AP262" s="192">
        <v>0</v>
      </c>
      <c r="AQ262" s="85"/>
      <c r="AR262" s="85"/>
      <c r="AS262" s="85"/>
      <c r="AT262" s="205"/>
      <c r="AU262" s="85">
        <v>1</v>
      </c>
      <c r="AV262" s="196">
        <f t="shared" si="25"/>
        <v>100</v>
      </c>
      <c r="AW262" s="85"/>
      <c r="AX262" s="85"/>
      <c r="AY262" s="39"/>
      <c r="AZ262" s="7"/>
      <c r="BA262" s="62"/>
      <c r="BB262" s="7"/>
      <c r="BC262" s="7"/>
      <c r="BD262" s="75"/>
      <c r="BE262" s="7"/>
      <c r="BF262" s="39"/>
      <c r="BG262" s="7"/>
      <c r="BH262" s="62"/>
      <c r="BI262" s="7"/>
      <c r="BJ262" s="32"/>
      <c r="BK262" s="256"/>
    </row>
    <row r="263" spans="1:63" ht="23.25" customHeight="1" thickBot="1" x14ac:dyDescent="0.25">
      <c r="A263" s="7">
        <v>262</v>
      </c>
      <c r="B263" s="221"/>
      <c r="C263" s="221"/>
      <c r="D263" s="223"/>
      <c r="E263" s="54" t="s">
        <v>249</v>
      </c>
      <c r="F263" s="16">
        <v>81.690140845070431</v>
      </c>
      <c r="G263" s="8">
        <v>9.8591549295774641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17">
        <v>0</v>
      </c>
      <c r="T263" s="8">
        <v>8.4507042253521121</v>
      </c>
      <c r="U263" s="8">
        <v>0</v>
      </c>
      <c r="V263" s="8">
        <v>0</v>
      </c>
      <c r="W263" s="8">
        <v>0</v>
      </c>
      <c r="X263" s="8">
        <v>0</v>
      </c>
      <c r="Y263" s="8">
        <v>0</v>
      </c>
      <c r="Z263" s="8">
        <v>0</v>
      </c>
      <c r="AA263" s="8">
        <v>0</v>
      </c>
      <c r="AB263" s="8">
        <v>0</v>
      </c>
      <c r="AC263" s="8">
        <v>0</v>
      </c>
      <c r="AD263" s="14">
        <f t="shared" si="23"/>
        <v>100.00000000000001</v>
      </c>
      <c r="AE263" s="8">
        <v>0</v>
      </c>
      <c r="AF263" s="8">
        <v>0</v>
      </c>
      <c r="AG263" s="8">
        <v>0</v>
      </c>
      <c r="AH263" s="8">
        <v>0</v>
      </c>
      <c r="AI263" s="39" t="s">
        <v>1531</v>
      </c>
      <c r="AJ263" s="7">
        <v>120</v>
      </c>
      <c r="AK263" s="62">
        <v>1323</v>
      </c>
      <c r="AL263" s="193">
        <f>90.7/100.7*100</f>
        <v>90.069513406156901</v>
      </c>
      <c r="AM263" s="192">
        <f>2.9/100.7*100</f>
        <v>2.8798411122144985</v>
      </c>
      <c r="AN263" s="192">
        <f>7.1/100.7*100</f>
        <v>7.0506454816285995</v>
      </c>
      <c r="AO263" s="192"/>
      <c r="AP263" s="192">
        <v>0</v>
      </c>
      <c r="AQ263" s="85"/>
      <c r="AR263" s="85"/>
      <c r="AS263" s="85"/>
      <c r="AT263" s="205"/>
      <c r="AU263" s="85">
        <v>1</v>
      </c>
      <c r="AV263" s="196">
        <f t="shared" si="25"/>
        <v>100</v>
      </c>
      <c r="AW263" s="85"/>
      <c r="AX263" s="85"/>
      <c r="AY263" s="39"/>
      <c r="AZ263" s="7"/>
      <c r="BA263" s="62"/>
      <c r="BB263" s="7"/>
      <c r="BC263" s="7"/>
      <c r="BD263" s="75"/>
      <c r="BE263" s="7"/>
      <c r="BF263" s="39"/>
      <c r="BG263" s="7"/>
      <c r="BH263" s="62"/>
      <c r="BI263" s="7"/>
      <c r="BJ263" s="32"/>
      <c r="BK263" s="256"/>
    </row>
    <row r="264" spans="1:63" ht="23.25" customHeight="1" thickBot="1" x14ac:dyDescent="0.25">
      <c r="A264" s="62">
        <v>263</v>
      </c>
      <c r="B264" s="221"/>
      <c r="C264" s="221"/>
      <c r="D264" s="223"/>
      <c r="E264" s="54" t="s">
        <v>244</v>
      </c>
      <c r="F264" s="16">
        <v>80</v>
      </c>
      <c r="G264" s="8">
        <v>9.6551724137931032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17">
        <v>0</v>
      </c>
      <c r="T264" s="8">
        <v>10.344827586206897</v>
      </c>
      <c r="U264" s="8">
        <v>0</v>
      </c>
      <c r="V264" s="8">
        <v>0</v>
      </c>
      <c r="W264" s="8">
        <v>0</v>
      </c>
      <c r="X264" s="8">
        <v>0</v>
      </c>
      <c r="Y264" s="8">
        <v>0</v>
      </c>
      <c r="Z264" s="8">
        <v>0</v>
      </c>
      <c r="AA264" s="8">
        <v>0</v>
      </c>
      <c r="AB264" s="8">
        <v>0</v>
      </c>
      <c r="AC264" s="8">
        <v>0</v>
      </c>
      <c r="AD264" s="14">
        <f t="shared" si="23"/>
        <v>100</v>
      </c>
      <c r="AE264" s="8">
        <v>0</v>
      </c>
      <c r="AF264" s="8">
        <v>0</v>
      </c>
      <c r="AG264" s="8">
        <v>0</v>
      </c>
      <c r="AH264" s="8">
        <v>0</v>
      </c>
      <c r="AI264" s="39" t="s">
        <v>1531</v>
      </c>
      <c r="AJ264" s="7">
        <v>120</v>
      </c>
      <c r="AK264" s="62">
        <v>1323</v>
      </c>
      <c r="AL264" s="193">
        <f>88.4/101*100</f>
        <v>87.524752475247539</v>
      </c>
      <c r="AM264" s="192">
        <f>2.9/101*100</f>
        <v>2.8712871287128712</v>
      </c>
      <c r="AN264" s="192">
        <v>0</v>
      </c>
      <c r="AO264" s="192"/>
      <c r="AP264" s="192">
        <f>9.7/101*100</f>
        <v>9.6039603960396036</v>
      </c>
      <c r="AQ264" s="85"/>
      <c r="AR264" s="85"/>
      <c r="AS264" s="85"/>
      <c r="AT264" s="205"/>
      <c r="AU264" s="85">
        <v>1</v>
      </c>
      <c r="AV264" s="196">
        <f t="shared" si="25"/>
        <v>100</v>
      </c>
      <c r="AW264" s="85"/>
      <c r="AX264" s="85"/>
      <c r="AY264" s="39"/>
      <c r="AZ264" s="7"/>
      <c r="BA264" s="62"/>
      <c r="BB264" s="7"/>
      <c r="BC264" s="7"/>
      <c r="BD264" s="75"/>
      <c r="BE264" s="7"/>
      <c r="BF264" s="39"/>
      <c r="BG264" s="7"/>
      <c r="BH264" s="62"/>
      <c r="BI264" s="7"/>
      <c r="BJ264" s="32"/>
      <c r="BK264" s="256"/>
    </row>
    <row r="265" spans="1:63" ht="23.25" customHeight="1" thickBot="1" x14ac:dyDescent="0.25">
      <c r="A265" s="7">
        <v>264</v>
      </c>
      <c r="B265" s="221"/>
      <c r="C265" s="221"/>
      <c r="D265" s="223"/>
      <c r="E265" s="54" t="s">
        <v>280</v>
      </c>
      <c r="F265" s="16">
        <v>78.911564625850332</v>
      </c>
      <c r="G265" s="8">
        <v>9.5238095238095237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17">
        <v>0</v>
      </c>
      <c r="T265" s="8">
        <v>11.564625850340136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  <c r="Z265" s="8">
        <v>0</v>
      </c>
      <c r="AA265" s="8">
        <v>0</v>
      </c>
      <c r="AB265" s="8">
        <v>0</v>
      </c>
      <c r="AC265" s="8">
        <v>0</v>
      </c>
      <c r="AD265" s="14">
        <f t="shared" si="23"/>
        <v>99.999999999999986</v>
      </c>
      <c r="AE265" s="8">
        <v>0</v>
      </c>
      <c r="AF265" s="8">
        <v>0</v>
      </c>
      <c r="AG265" s="8">
        <v>0</v>
      </c>
      <c r="AH265" s="8">
        <v>0</v>
      </c>
      <c r="AI265" s="39" t="s">
        <v>1531</v>
      </c>
      <c r="AJ265" s="7">
        <v>120</v>
      </c>
      <c r="AK265" s="62">
        <v>1323</v>
      </c>
      <c r="AL265" s="193">
        <v>85</v>
      </c>
      <c r="AM265" s="192">
        <v>2.2999999999999998</v>
      </c>
      <c r="AN265" s="192">
        <v>0</v>
      </c>
      <c r="AO265" s="192"/>
      <c r="AP265" s="192">
        <v>12.7</v>
      </c>
      <c r="AQ265" s="85"/>
      <c r="AR265" s="85"/>
      <c r="AS265" s="85"/>
      <c r="AT265" s="205"/>
      <c r="AU265" s="85">
        <v>1</v>
      </c>
      <c r="AV265" s="196">
        <f t="shared" si="25"/>
        <v>100</v>
      </c>
      <c r="AW265" s="85"/>
      <c r="AX265" s="85"/>
      <c r="AY265" s="39"/>
      <c r="AZ265" s="7"/>
      <c r="BA265" s="62"/>
      <c r="BB265" s="7" t="s">
        <v>622</v>
      </c>
      <c r="BC265" s="85" t="s">
        <v>1747</v>
      </c>
      <c r="BD265" s="75" t="s">
        <v>669</v>
      </c>
      <c r="BE265" s="7" t="s">
        <v>677</v>
      </c>
      <c r="BF265" s="39"/>
      <c r="BG265" s="7"/>
      <c r="BH265" s="62"/>
      <c r="BI265" s="7"/>
      <c r="BJ265" s="32"/>
      <c r="BK265" s="256"/>
    </row>
    <row r="266" spans="1:63" ht="23.25" customHeight="1" thickBot="1" x14ac:dyDescent="0.25">
      <c r="A266" s="62">
        <v>265</v>
      </c>
      <c r="B266" s="221"/>
      <c r="C266" s="221"/>
      <c r="D266" s="223"/>
      <c r="E266" s="54" t="s">
        <v>272</v>
      </c>
      <c r="F266" s="16">
        <v>77.333333333333329</v>
      </c>
      <c r="G266" s="8">
        <v>9.3333333333333321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17">
        <v>0</v>
      </c>
      <c r="T266" s="8">
        <v>13.333333333333334</v>
      </c>
      <c r="U266" s="8">
        <v>0</v>
      </c>
      <c r="V266" s="8">
        <v>0</v>
      </c>
      <c r="W266" s="8">
        <v>0</v>
      </c>
      <c r="X266" s="8">
        <v>0</v>
      </c>
      <c r="Y266" s="8">
        <v>0</v>
      </c>
      <c r="Z266" s="8">
        <v>0</v>
      </c>
      <c r="AA266" s="8">
        <v>0</v>
      </c>
      <c r="AB266" s="8">
        <v>0</v>
      </c>
      <c r="AC266" s="8">
        <v>0</v>
      </c>
      <c r="AD266" s="14">
        <f t="shared" si="23"/>
        <v>99.999999999999986</v>
      </c>
      <c r="AE266" s="8">
        <v>0</v>
      </c>
      <c r="AF266" s="8">
        <v>0</v>
      </c>
      <c r="AG266" s="8">
        <v>0</v>
      </c>
      <c r="AH266" s="8">
        <v>0</v>
      </c>
      <c r="AI266" s="39" t="s">
        <v>1531</v>
      </c>
      <c r="AJ266" s="7">
        <v>120</v>
      </c>
      <c r="AK266" s="62">
        <v>1323</v>
      </c>
      <c r="AL266" s="193">
        <f>83.3/103.8*100</f>
        <v>80.250481695568396</v>
      </c>
      <c r="AM266" s="192">
        <f>2/103.8*100</f>
        <v>1.9267822736030831</v>
      </c>
      <c r="AN266" s="192">
        <v>0</v>
      </c>
      <c r="AO266" s="192"/>
      <c r="AP266" s="192">
        <f>18.5/103.8*100</f>
        <v>17.822736030828519</v>
      </c>
      <c r="AQ266" s="85"/>
      <c r="AR266" s="85"/>
      <c r="AS266" s="85"/>
      <c r="AT266" s="205"/>
      <c r="AU266" s="85">
        <v>1</v>
      </c>
      <c r="AV266" s="196">
        <f t="shared" si="25"/>
        <v>100</v>
      </c>
      <c r="AW266" s="85"/>
      <c r="AX266" s="85"/>
      <c r="AY266" s="39"/>
      <c r="AZ266" s="7"/>
      <c r="BA266" s="62"/>
      <c r="BB266" s="7"/>
      <c r="BC266" s="7"/>
      <c r="BD266" s="75"/>
      <c r="BE266" s="7"/>
      <c r="BF266" s="39"/>
      <c r="BG266" s="7"/>
      <c r="BH266" s="62"/>
      <c r="BI266" s="7"/>
      <c r="BJ266" s="32"/>
      <c r="BK266" s="256"/>
    </row>
    <row r="267" spans="1:63" ht="23.25" customHeight="1" thickBot="1" x14ac:dyDescent="0.25">
      <c r="A267" s="7">
        <v>266</v>
      </c>
      <c r="B267" s="221"/>
      <c r="C267" s="221"/>
      <c r="D267" s="223"/>
      <c r="E267" s="54" t="s">
        <v>271</v>
      </c>
      <c r="F267" s="16">
        <v>76.315789473684205</v>
      </c>
      <c r="G267" s="8">
        <v>9.2105263157894726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17">
        <v>0</v>
      </c>
      <c r="T267" s="8">
        <v>14.473684210526317</v>
      </c>
      <c r="U267" s="8">
        <v>0</v>
      </c>
      <c r="V267" s="8">
        <v>0</v>
      </c>
      <c r="W267" s="8">
        <v>0</v>
      </c>
      <c r="X267" s="8">
        <v>0</v>
      </c>
      <c r="Y267" s="8">
        <v>0</v>
      </c>
      <c r="Z267" s="8">
        <v>0</v>
      </c>
      <c r="AA267" s="8">
        <v>0</v>
      </c>
      <c r="AB267" s="8">
        <v>0</v>
      </c>
      <c r="AC267" s="8">
        <v>0</v>
      </c>
      <c r="AD267" s="14">
        <f t="shared" si="23"/>
        <v>99.999999999999986</v>
      </c>
      <c r="AE267" s="8">
        <v>0</v>
      </c>
      <c r="AF267" s="8">
        <v>0</v>
      </c>
      <c r="AG267" s="8">
        <v>0</v>
      </c>
      <c r="AH267" s="8">
        <v>0</v>
      </c>
      <c r="AI267" s="39" t="s">
        <v>1531</v>
      </c>
      <c r="AJ267" s="7">
        <v>120</v>
      </c>
      <c r="AK267" s="62">
        <v>1323</v>
      </c>
      <c r="AL267" s="193">
        <f>55.4/100.4*100</f>
        <v>55.179282868525888</v>
      </c>
      <c r="AM267" s="192">
        <f>26.8/100.4*100</f>
        <v>26.693227091633464</v>
      </c>
      <c r="AN267" s="192">
        <v>0</v>
      </c>
      <c r="AO267" s="192"/>
      <c r="AP267" s="192">
        <f>18.2/100.4*100</f>
        <v>18.127490039840634</v>
      </c>
      <c r="AQ267" s="85"/>
      <c r="AR267" s="85"/>
      <c r="AS267" s="85"/>
      <c r="AT267" s="205"/>
      <c r="AU267" s="85">
        <v>1</v>
      </c>
      <c r="AV267" s="196">
        <f t="shared" si="25"/>
        <v>99.999999999999986</v>
      </c>
      <c r="AW267" s="85"/>
      <c r="AX267" s="85"/>
      <c r="AY267" s="39"/>
      <c r="AZ267" s="7"/>
      <c r="BA267" s="62"/>
      <c r="BB267" s="7"/>
      <c r="BC267" s="7"/>
      <c r="BD267" s="75"/>
      <c r="BE267" s="7"/>
      <c r="BF267" s="39"/>
      <c r="BG267" s="7"/>
      <c r="BH267" s="62"/>
      <c r="BI267" s="7"/>
      <c r="BJ267" s="32"/>
      <c r="BK267" s="256"/>
    </row>
    <row r="268" spans="1:63" ht="23.25" customHeight="1" thickBot="1" x14ac:dyDescent="0.25">
      <c r="A268" s="62">
        <v>267</v>
      </c>
      <c r="B268" s="221"/>
      <c r="C268" s="221"/>
      <c r="D268" s="54" t="s">
        <v>354</v>
      </c>
      <c r="E268" s="54" t="s">
        <v>1661</v>
      </c>
      <c r="F268" s="16">
        <v>78.911564625850332</v>
      </c>
      <c r="G268" s="8">
        <v>9.5238095238095237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17">
        <v>0</v>
      </c>
      <c r="T268" s="8">
        <v>11.564625850340136</v>
      </c>
      <c r="U268" s="8">
        <v>0</v>
      </c>
      <c r="V268" s="8">
        <v>0</v>
      </c>
      <c r="W268" s="8">
        <v>0</v>
      </c>
      <c r="X268" s="8">
        <v>0</v>
      </c>
      <c r="Y268" s="8">
        <v>0</v>
      </c>
      <c r="Z268" s="8">
        <v>0</v>
      </c>
      <c r="AA268" s="8">
        <v>0</v>
      </c>
      <c r="AB268" s="8">
        <v>0</v>
      </c>
      <c r="AC268" s="8">
        <v>0</v>
      </c>
      <c r="AD268" s="14">
        <f t="shared" si="23"/>
        <v>99.999999999999986</v>
      </c>
      <c r="AE268" s="8">
        <v>0</v>
      </c>
      <c r="AF268" s="8">
        <v>0</v>
      </c>
      <c r="AG268" s="8">
        <v>0</v>
      </c>
      <c r="AH268" s="8">
        <v>0</v>
      </c>
      <c r="AI268" s="39" t="s">
        <v>1531</v>
      </c>
      <c r="AJ268" s="7">
        <v>5</v>
      </c>
      <c r="AK268" s="62">
        <v>1323</v>
      </c>
      <c r="AL268" s="158"/>
      <c r="AM268" s="85"/>
      <c r="AN268" s="85"/>
      <c r="AO268" s="85"/>
      <c r="AP268" s="85"/>
      <c r="AQ268" s="85"/>
      <c r="AR268" s="85"/>
      <c r="AS268" s="85"/>
      <c r="AT268" s="205"/>
      <c r="AU268" s="85"/>
      <c r="AV268" s="196"/>
      <c r="AW268" s="85"/>
      <c r="AX268" s="85"/>
      <c r="AY268" s="39"/>
      <c r="AZ268" s="7"/>
      <c r="BA268" s="62"/>
      <c r="BB268" s="7" t="s">
        <v>622</v>
      </c>
      <c r="BC268" s="7" t="s">
        <v>656</v>
      </c>
      <c r="BD268" s="75" t="s">
        <v>670</v>
      </c>
      <c r="BE268" s="7" t="s">
        <v>678</v>
      </c>
      <c r="BF268" s="39"/>
      <c r="BG268" s="7"/>
      <c r="BH268" s="62"/>
      <c r="BI268" s="7"/>
      <c r="BJ268" s="32"/>
      <c r="BK268" s="256"/>
    </row>
    <row r="269" spans="1:63" ht="23.25" customHeight="1" thickBot="1" x14ac:dyDescent="0.25">
      <c r="A269" s="7">
        <v>268</v>
      </c>
      <c r="B269" s="221"/>
      <c r="C269" s="221"/>
      <c r="D269" s="54" t="s">
        <v>80</v>
      </c>
      <c r="E269" s="54"/>
      <c r="F269" s="16">
        <v>78.911564625850332</v>
      </c>
      <c r="G269" s="8">
        <v>9.5238095238095237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17">
        <v>0</v>
      </c>
      <c r="T269" s="8">
        <v>11.564625850340136</v>
      </c>
      <c r="U269" s="8">
        <v>0</v>
      </c>
      <c r="V269" s="8">
        <v>0</v>
      </c>
      <c r="W269" s="8">
        <v>0</v>
      </c>
      <c r="X269" s="8">
        <v>0</v>
      </c>
      <c r="Y269" s="8">
        <v>0</v>
      </c>
      <c r="Z269" s="8">
        <v>0</v>
      </c>
      <c r="AA269" s="8">
        <v>0</v>
      </c>
      <c r="AB269" s="8">
        <v>0</v>
      </c>
      <c r="AC269" s="8">
        <v>0</v>
      </c>
      <c r="AD269" s="14">
        <f t="shared" si="23"/>
        <v>99.999999999999986</v>
      </c>
      <c r="AE269" s="8">
        <f>2.9/14*100</f>
        <v>20.714285714285712</v>
      </c>
      <c r="AF269" s="8">
        <v>0</v>
      </c>
      <c r="AG269" s="8">
        <v>0</v>
      </c>
      <c r="AH269" s="8">
        <v>0</v>
      </c>
      <c r="AI269" s="39" t="s">
        <v>1531</v>
      </c>
      <c r="AJ269" s="7">
        <v>5</v>
      </c>
      <c r="AK269" s="62">
        <v>1323</v>
      </c>
      <c r="AL269" s="158"/>
      <c r="AM269" s="85"/>
      <c r="AN269" s="85"/>
      <c r="AO269" s="85"/>
      <c r="AP269" s="85"/>
      <c r="AQ269" s="85"/>
      <c r="AR269" s="85"/>
      <c r="AS269" s="85"/>
      <c r="AT269" s="205"/>
      <c r="AU269" s="85"/>
      <c r="AV269" s="196"/>
      <c r="AW269" s="85"/>
      <c r="AX269" s="85"/>
      <c r="AY269" s="39"/>
      <c r="AZ269" s="7"/>
      <c r="BA269" s="62"/>
      <c r="BB269" s="7" t="s">
        <v>623</v>
      </c>
      <c r="BC269" s="7" t="s">
        <v>657</v>
      </c>
      <c r="BD269" s="75" t="s">
        <v>671</v>
      </c>
      <c r="BE269" s="7" t="s">
        <v>679</v>
      </c>
      <c r="BF269" s="39"/>
      <c r="BG269" s="7"/>
      <c r="BH269" s="62"/>
      <c r="BI269" s="7"/>
      <c r="BJ269" s="32"/>
      <c r="BK269" s="256"/>
    </row>
    <row r="270" spans="1:63" s="4" customFormat="1" ht="23.25" customHeight="1" x14ac:dyDescent="0.2">
      <c r="A270" s="62">
        <v>269</v>
      </c>
      <c r="B270" s="238">
        <v>95</v>
      </c>
      <c r="C270" s="238" t="s">
        <v>1554</v>
      </c>
      <c r="D270" s="12" t="s">
        <v>0</v>
      </c>
      <c r="E270" s="12"/>
      <c r="F270" s="87">
        <v>81.428571428571431</v>
      </c>
      <c r="G270" s="88">
        <v>11.428571428571429</v>
      </c>
      <c r="H270" s="88">
        <v>0</v>
      </c>
      <c r="I270" s="88">
        <v>0</v>
      </c>
      <c r="J270" s="88">
        <v>0</v>
      </c>
      <c r="K270" s="88">
        <v>0</v>
      </c>
      <c r="L270" s="88">
        <v>0</v>
      </c>
      <c r="M270" s="88">
        <v>0</v>
      </c>
      <c r="N270" s="88">
        <v>0</v>
      </c>
      <c r="O270" s="88">
        <v>0</v>
      </c>
      <c r="P270" s="88">
        <v>0</v>
      </c>
      <c r="Q270" s="88">
        <v>0</v>
      </c>
      <c r="R270" s="88">
        <v>0</v>
      </c>
      <c r="S270" s="89">
        <v>0</v>
      </c>
      <c r="T270" s="88">
        <v>7.1428571428571423</v>
      </c>
      <c r="U270" s="88">
        <v>0</v>
      </c>
      <c r="V270" s="88">
        <v>0</v>
      </c>
      <c r="W270" s="88">
        <v>0</v>
      </c>
      <c r="X270" s="88">
        <v>0</v>
      </c>
      <c r="Y270" s="88">
        <v>0</v>
      </c>
      <c r="Z270" s="88">
        <v>0</v>
      </c>
      <c r="AA270" s="88">
        <v>0</v>
      </c>
      <c r="AB270" s="88">
        <v>0</v>
      </c>
      <c r="AC270" s="88">
        <v>0</v>
      </c>
      <c r="AD270" s="90">
        <f t="shared" si="23"/>
        <v>100</v>
      </c>
      <c r="AE270" s="88">
        <v>0</v>
      </c>
      <c r="AF270" s="88">
        <v>0</v>
      </c>
      <c r="AG270" s="88">
        <v>0</v>
      </c>
      <c r="AH270" s="88">
        <v>0</v>
      </c>
      <c r="AI270" s="156" t="s">
        <v>1531</v>
      </c>
      <c r="AJ270" s="45">
        <v>1200</v>
      </c>
      <c r="AK270" s="91">
        <v>1273</v>
      </c>
      <c r="AL270" s="197"/>
      <c r="AM270" s="189"/>
      <c r="AN270" s="189"/>
      <c r="AO270" s="189"/>
      <c r="AP270" s="189"/>
      <c r="AQ270" s="189"/>
      <c r="AR270" s="189"/>
      <c r="AS270" s="189"/>
      <c r="AT270" s="198"/>
      <c r="AU270" s="189"/>
      <c r="AV270" s="199"/>
      <c r="AW270" s="189"/>
      <c r="AX270" s="189"/>
      <c r="AY270" s="156">
        <v>0.01</v>
      </c>
      <c r="AZ270" s="45">
        <v>209</v>
      </c>
      <c r="BA270" s="91"/>
      <c r="BB270" s="45" t="s">
        <v>524</v>
      </c>
      <c r="BC270" s="45" t="s">
        <v>680</v>
      </c>
      <c r="BD270" s="45" t="s">
        <v>698</v>
      </c>
      <c r="BE270" s="45" t="s">
        <v>695</v>
      </c>
      <c r="BF270" s="156"/>
      <c r="BG270" s="45"/>
      <c r="BH270" s="91"/>
      <c r="BI270" s="45"/>
      <c r="BJ270" s="67"/>
      <c r="BK270" s="41"/>
    </row>
    <row r="271" spans="1:63" ht="23.25" customHeight="1" x14ac:dyDescent="0.2">
      <c r="A271" s="7">
        <v>270</v>
      </c>
      <c r="B271" s="221"/>
      <c r="C271" s="221"/>
      <c r="D271" s="54" t="s">
        <v>81</v>
      </c>
      <c r="E271" s="54"/>
      <c r="F271" s="16">
        <v>78.428571428571431</v>
      </c>
      <c r="G271" s="8">
        <v>12.857142857142856</v>
      </c>
      <c r="H271" s="8">
        <v>0</v>
      </c>
      <c r="I271" s="8">
        <v>0</v>
      </c>
      <c r="J271" s="8">
        <v>1.5714285714285712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17">
        <v>0</v>
      </c>
      <c r="T271" s="8">
        <v>7.1428571428571423</v>
      </c>
      <c r="U271" s="8">
        <v>0</v>
      </c>
      <c r="V271" s="8">
        <v>0</v>
      </c>
      <c r="W271" s="8">
        <v>0</v>
      </c>
      <c r="X271" s="8">
        <v>0</v>
      </c>
      <c r="Y271" s="8">
        <v>0</v>
      </c>
      <c r="Z271" s="8">
        <v>0</v>
      </c>
      <c r="AA271" s="8">
        <v>0</v>
      </c>
      <c r="AB271" s="8">
        <v>0</v>
      </c>
      <c r="AC271" s="8">
        <v>0</v>
      </c>
      <c r="AD271" s="14">
        <f t="shared" si="23"/>
        <v>100</v>
      </c>
      <c r="AE271" s="8">
        <v>0</v>
      </c>
      <c r="AF271" s="8">
        <v>0</v>
      </c>
      <c r="AG271" s="8">
        <v>0</v>
      </c>
      <c r="AH271" s="8">
        <v>0</v>
      </c>
      <c r="AI271" s="39" t="s">
        <v>1531</v>
      </c>
      <c r="AJ271" s="7">
        <v>1200</v>
      </c>
      <c r="AK271" s="62">
        <v>1273</v>
      </c>
      <c r="AL271" s="158"/>
      <c r="AM271" s="85"/>
      <c r="AN271" s="85"/>
      <c r="AO271" s="85"/>
      <c r="AP271" s="85"/>
      <c r="AQ271" s="85"/>
      <c r="AR271" s="85"/>
      <c r="AS271" s="85"/>
      <c r="AT271" s="205"/>
      <c r="AU271" s="85"/>
      <c r="AV271" s="196"/>
      <c r="AW271" s="85"/>
      <c r="AX271" s="85"/>
      <c r="AY271" s="39">
        <v>0.01</v>
      </c>
      <c r="AZ271" s="7">
        <v>242</v>
      </c>
      <c r="BA271" s="62"/>
      <c r="BB271" s="7" t="s">
        <v>523</v>
      </c>
      <c r="BC271" s="7" t="s">
        <v>681</v>
      </c>
      <c r="BD271" s="7" t="s">
        <v>699</v>
      </c>
      <c r="BE271" s="7" t="s">
        <v>696</v>
      </c>
      <c r="BF271" s="39"/>
      <c r="BG271" s="7"/>
      <c r="BH271" s="62"/>
      <c r="BI271" s="7"/>
      <c r="BJ271" s="32"/>
      <c r="BK271" s="59"/>
    </row>
    <row r="272" spans="1:63" ht="23.25" customHeight="1" x14ac:dyDescent="0.2">
      <c r="A272" s="62">
        <v>271</v>
      </c>
      <c r="B272" s="221"/>
      <c r="C272" s="221"/>
      <c r="D272" s="54" t="s">
        <v>82</v>
      </c>
      <c r="E272" s="54"/>
      <c r="F272" s="16">
        <v>79.428571428571431</v>
      </c>
      <c r="G272" s="8">
        <v>0</v>
      </c>
      <c r="H272" s="8">
        <v>8.3571428571428577</v>
      </c>
      <c r="I272" s="8">
        <v>0</v>
      </c>
      <c r="J272" s="8">
        <v>5.0714285714285721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17">
        <v>0</v>
      </c>
      <c r="T272" s="8">
        <v>7.1428571428571441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8">
        <v>0</v>
      </c>
      <c r="AB272" s="8">
        <v>0</v>
      </c>
      <c r="AC272" s="8">
        <v>0</v>
      </c>
      <c r="AD272" s="14">
        <f t="shared" si="23"/>
        <v>100</v>
      </c>
      <c r="AE272" s="8">
        <v>0</v>
      </c>
      <c r="AF272" s="8">
        <v>0</v>
      </c>
      <c r="AG272" s="8">
        <v>0</v>
      </c>
      <c r="AH272" s="8">
        <v>0</v>
      </c>
      <c r="AI272" s="39" t="s">
        <v>1531</v>
      </c>
      <c r="AJ272" s="7">
        <v>1200</v>
      </c>
      <c r="AK272" s="62">
        <v>1273</v>
      </c>
      <c r="AL272" s="158"/>
      <c r="AM272" s="85"/>
      <c r="AN272" s="85"/>
      <c r="AO272" s="85"/>
      <c r="AP272" s="85"/>
      <c r="AQ272" s="85"/>
      <c r="AR272" s="85"/>
      <c r="AS272" s="85"/>
      <c r="AT272" s="205"/>
      <c r="AU272" s="85"/>
      <c r="AV272" s="196"/>
      <c r="AW272" s="85"/>
      <c r="AX272" s="85"/>
      <c r="AY272" s="39">
        <v>0.01</v>
      </c>
      <c r="AZ272" s="7">
        <v>279</v>
      </c>
      <c r="BA272" s="62"/>
      <c r="BB272" s="7" t="s">
        <v>523</v>
      </c>
      <c r="BC272" s="7" t="s">
        <v>682</v>
      </c>
      <c r="BD272" s="7" t="s">
        <v>700</v>
      </c>
      <c r="BE272" s="7" t="s">
        <v>697</v>
      </c>
      <c r="BF272" s="39"/>
      <c r="BG272" s="7"/>
      <c r="BH272" s="62"/>
      <c r="BI272" s="7"/>
      <c r="BJ272" s="32"/>
      <c r="BK272" s="59"/>
    </row>
    <row r="273" spans="1:63" ht="23.25" customHeight="1" x14ac:dyDescent="0.2">
      <c r="A273" s="7">
        <v>272</v>
      </c>
      <c r="B273" s="221"/>
      <c r="C273" s="221"/>
      <c r="D273" s="54" t="s">
        <v>75</v>
      </c>
      <c r="E273" s="54"/>
      <c r="F273" s="16">
        <v>81.899999999999991</v>
      </c>
      <c r="G273" s="8">
        <v>0</v>
      </c>
      <c r="H273" s="8">
        <v>9.2857142857142865</v>
      </c>
      <c r="I273" s="8">
        <v>0</v>
      </c>
      <c r="J273" s="8">
        <v>1.6714285714285713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17">
        <v>0</v>
      </c>
      <c r="T273" s="8">
        <v>7.1428571428571423</v>
      </c>
      <c r="U273" s="8">
        <v>0</v>
      </c>
      <c r="V273" s="8">
        <v>0</v>
      </c>
      <c r="W273" s="8">
        <v>0</v>
      </c>
      <c r="X273" s="8">
        <v>0</v>
      </c>
      <c r="Y273" s="8">
        <v>0</v>
      </c>
      <c r="Z273" s="8">
        <v>0</v>
      </c>
      <c r="AA273" s="8">
        <v>0</v>
      </c>
      <c r="AB273" s="8">
        <v>0</v>
      </c>
      <c r="AC273" s="8">
        <v>0</v>
      </c>
      <c r="AD273" s="14">
        <f t="shared" si="23"/>
        <v>100</v>
      </c>
      <c r="AE273" s="8">
        <v>0</v>
      </c>
      <c r="AF273" s="8">
        <v>0</v>
      </c>
      <c r="AG273" s="8">
        <v>0</v>
      </c>
      <c r="AH273" s="8">
        <v>0</v>
      </c>
      <c r="AJ273" s="7"/>
      <c r="AK273" s="62"/>
      <c r="AL273" s="158"/>
      <c r="AM273" s="85"/>
      <c r="AN273" s="85"/>
      <c r="AO273" s="85"/>
      <c r="AP273" s="85"/>
      <c r="AQ273" s="85"/>
      <c r="AR273" s="85"/>
      <c r="AS273" s="85"/>
      <c r="AT273" s="205"/>
      <c r="AU273" s="85"/>
      <c r="AV273" s="196"/>
      <c r="AW273" s="85"/>
      <c r="AX273" s="85"/>
      <c r="AY273" s="39"/>
      <c r="AZ273" s="7">
        <v>198</v>
      </c>
      <c r="BA273" s="62"/>
      <c r="BB273" s="7" t="s">
        <v>523</v>
      </c>
      <c r="BC273" s="7" t="s">
        <v>683</v>
      </c>
      <c r="BD273" s="7"/>
      <c r="BE273" s="7"/>
      <c r="BF273" s="39"/>
      <c r="BG273" s="7"/>
      <c r="BH273" s="62"/>
      <c r="BI273" s="7"/>
      <c r="BJ273" s="32"/>
      <c r="BK273" s="59"/>
    </row>
    <row r="274" spans="1:63" ht="23.25" customHeight="1" x14ac:dyDescent="0.2">
      <c r="A274" s="62">
        <v>273</v>
      </c>
      <c r="B274" s="221"/>
      <c r="C274" s="221"/>
      <c r="D274" s="54" t="s">
        <v>77</v>
      </c>
      <c r="E274" s="54"/>
      <c r="F274" s="16">
        <v>80</v>
      </c>
      <c r="G274" s="8">
        <v>7.8571428571428585</v>
      </c>
      <c r="H274" s="8">
        <v>0</v>
      </c>
      <c r="I274" s="8">
        <v>0</v>
      </c>
      <c r="J274" s="8">
        <v>5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17">
        <v>0</v>
      </c>
      <c r="T274" s="8">
        <v>7.1428571428571441</v>
      </c>
      <c r="U274" s="8">
        <v>0</v>
      </c>
      <c r="V274" s="8">
        <v>0</v>
      </c>
      <c r="W274" s="8">
        <v>0</v>
      </c>
      <c r="X274" s="8">
        <v>0</v>
      </c>
      <c r="Y274" s="8">
        <v>0</v>
      </c>
      <c r="Z274" s="8">
        <v>0</v>
      </c>
      <c r="AA274" s="8">
        <v>0</v>
      </c>
      <c r="AB274" s="8">
        <v>0</v>
      </c>
      <c r="AC274" s="8">
        <v>0</v>
      </c>
      <c r="AD274" s="14">
        <f t="shared" si="23"/>
        <v>100</v>
      </c>
      <c r="AE274" s="8">
        <v>0</v>
      </c>
      <c r="AF274" s="8">
        <v>0</v>
      </c>
      <c r="AG274" s="8">
        <v>0</v>
      </c>
      <c r="AH274" s="8">
        <v>0</v>
      </c>
      <c r="AJ274" s="7"/>
      <c r="AK274" s="62"/>
      <c r="AL274" s="158"/>
      <c r="AM274" s="85"/>
      <c r="AN274" s="85"/>
      <c r="AO274" s="85"/>
      <c r="AP274" s="85"/>
      <c r="AQ274" s="85"/>
      <c r="AR274" s="85"/>
      <c r="AS274" s="85"/>
      <c r="AT274" s="205"/>
      <c r="AU274" s="85"/>
      <c r="AV274" s="196"/>
      <c r="AW274" s="85"/>
      <c r="AX274" s="85"/>
      <c r="AY274" s="39"/>
      <c r="AZ274" s="7">
        <v>274</v>
      </c>
      <c r="BA274" s="62"/>
      <c r="BB274" s="85">
        <v>5</v>
      </c>
      <c r="BC274" s="85">
        <v>20.3</v>
      </c>
      <c r="BD274" s="7"/>
      <c r="BE274" s="7"/>
      <c r="BF274" s="39"/>
      <c r="BG274" s="7"/>
      <c r="BH274" s="62"/>
      <c r="BI274" s="7"/>
      <c r="BJ274" s="32"/>
      <c r="BK274" s="59"/>
    </row>
    <row r="275" spans="1:63" ht="23.25" customHeight="1" x14ac:dyDescent="0.2">
      <c r="A275" s="7">
        <v>274</v>
      </c>
      <c r="B275" s="221"/>
      <c r="C275" s="221"/>
      <c r="D275" s="54" t="s">
        <v>83</v>
      </c>
      <c r="E275" s="54"/>
      <c r="F275" s="16">
        <f>11.5/14*100</f>
        <v>82.142857142857139</v>
      </c>
      <c r="G275" s="8">
        <f>1.5/14*100</f>
        <v>10.714285714285714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17">
        <v>0</v>
      </c>
      <c r="T275" s="8">
        <v>7.1428571428571441</v>
      </c>
      <c r="U275" s="8">
        <v>0</v>
      </c>
      <c r="V275" s="8">
        <v>0</v>
      </c>
      <c r="W275" s="8">
        <v>0</v>
      </c>
      <c r="X275" s="8">
        <v>0</v>
      </c>
      <c r="Y275" s="8">
        <v>0</v>
      </c>
      <c r="Z275" s="8">
        <v>0</v>
      </c>
      <c r="AA275" s="8">
        <v>0</v>
      </c>
      <c r="AB275" s="8">
        <v>0</v>
      </c>
      <c r="AC275" s="8">
        <v>0</v>
      </c>
      <c r="AD275" s="14">
        <f t="shared" si="23"/>
        <v>99.999999999999986</v>
      </c>
      <c r="AE275" s="8">
        <f>1.3/14*100</f>
        <v>9.2857142857142865</v>
      </c>
      <c r="AF275" s="8">
        <v>0</v>
      </c>
      <c r="AG275" s="8">
        <v>0</v>
      </c>
      <c r="AH275" s="8">
        <v>0</v>
      </c>
      <c r="AJ275" s="7"/>
      <c r="AK275" s="62"/>
      <c r="AL275" s="158"/>
      <c r="AM275" s="85"/>
      <c r="AN275" s="85"/>
      <c r="AO275" s="85"/>
      <c r="AP275" s="85"/>
      <c r="AQ275" s="85"/>
      <c r="AR275" s="85"/>
      <c r="AS275" s="85"/>
      <c r="AT275" s="205"/>
      <c r="AU275" s="85"/>
      <c r="AV275" s="196"/>
      <c r="AW275" s="85"/>
      <c r="AX275" s="85"/>
      <c r="AY275" s="39"/>
      <c r="AZ275" s="7">
        <v>288</v>
      </c>
      <c r="BA275" s="62"/>
      <c r="BB275" s="7" t="s">
        <v>523</v>
      </c>
      <c r="BC275" s="7" t="s">
        <v>684</v>
      </c>
      <c r="BD275" s="7"/>
      <c r="BE275" s="7"/>
      <c r="BF275" s="39"/>
      <c r="BG275" s="7"/>
      <c r="BH275" s="62"/>
      <c r="BI275" s="7"/>
      <c r="BJ275" s="32"/>
      <c r="BK275" s="59"/>
    </row>
    <row r="276" spans="1:63" ht="23.25" customHeight="1" x14ac:dyDescent="0.2">
      <c r="A276" s="62">
        <v>275</v>
      </c>
      <c r="B276" s="221"/>
      <c r="C276" s="221"/>
      <c r="D276" s="223" t="s">
        <v>357</v>
      </c>
      <c r="E276" s="54" t="s">
        <v>355</v>
      </c>
      <c r="F276" s="16">
        <v>82.735714285714195</v>
      </c>
      <c r="G276" s="8">
        <v>9.2857142857142794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0.83571428571428497</v>
      </c>
      <c r="Q276" s="8">
        <v>0</v>
      </c>
      <c r="R276" s="8">
        <v>0</v>
      </c>
      <c r="S276" s="17">
        <v>0</v>
      </c>
      <c r="T276" s="8">
        <v>7.1428571428571397</v>
      </c>
      <c r="U276" s="8">
        <v>0</v>
      </c>
      <c r="V276" s="8">
        <v>0</v>
      </c>
      <c r="W276" s="8">
        <v>0</v>
      </c>
      <c r="X276" s="8">
        <v>0</v>
      </c>
      <c r="Y276" s="8">
        <v>0</v>
      </c>
      <c r="Z276" s="8">
        <v>0</v>
      </c>
      <c r="AA276" s="8">
        <v>0</v>
      </c>
      <c r="AB276" s="8">
        <v>0</v>
      </c>
      <c r="AC276" s="8">
        <v>0</v>
      </c>
      <c r="AD276" s="14">
        <f t="shared" si="23"/>
        <v>99.999999999999901</v>
      </c>
      <c r="AE276" s="8">
        <f>1.8*100/14</f>
        <v>12.857142857142858</v>
      </c>
      <c r="AF276" s="8">
        <v>0</v>
      </c>
      <c r="AG276" s="8">
        <v>0</v>
      </c>
      <c r="AH276" s="8">
        <v>0</v>
      </c>
      <c r="AJ276" s="7"/>
      <c r="AK276" s="62"/>
      <c r="AL276" s="158"/>
      <c r="AM276" s="85"/>
      <c r="AN276" s="85"/>
      <c r="AO276" s="85"/>
      <c r="AP276" s="85"/>
      <c r="AQ276" s="85"/>
      <c r="AR276" s="85"/>
      <c r="AS276" s="85"/>
      <c r="AT276" s="205"/>
      <c r="AU276" s="85"/>
      <c r="AV276" s="196"/>
      <c r="AW276" s="85"/>
      <c r="AX276" s="85"/>
      <c r="AY276" s="39"/>
      <c r="AZ276" s="7">
        <v>336</v>
      </c>
      <c r="BA276" s="62"/>
      <c r="BB276" s="7" t="s">
        <v>523</v>
      </c>
      <c r="BC276" s="7" t="s">
        <v>685</v>
      </c>
      <c r="BD276" s="7"/>
      <c r="BE276" s="7"/>
      <c r="BF276" s="39"/>
      <c r="BG276" s="7"/>
      <c r="BH276" s="62"/>
      <c r="BI276" s="7"/>
      <c r="BJ276" s="32"/>
      <c r="BK276" s="226" t="s">
        <v>1724</v>
      </c>
    </row>
    <row r="277" spans="1:63" ht="23.25" customHeight="1" x14ac:dyDescent="0.2">
      <c r="A277" s="7">
        <v>276</v>
      </c>
      <c r="B277" s="221"/>
      <c r="C277" s="221"/>
      <c r="D277" s="223"/>
      <c r="E277" s="54" t="s">
        <v>356</v>
      </c>
      <c r="F277" s="16">
        <v>81.900000000000006</v>
      </c>
      <c r="G277" s="8">
        <v>9.2857142857142794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1.6714285714285699</v>
      </c>
      <c r="Q277" s="8">
        <v>0</v>
      </c>
      <c r="R277" s="8">
        <v>0</v>
      </c>
      <c r="S277" s="17">
        <v>0</v>
      </c>
      <c r="T277" s="8">
        <v>7.1428571428571397</v>
      </c>
      <c r="U277" s="8">
        <v>0</v>
      </c>
      <c r="V277" s="8">
        <v>0</v>
      </c>
      <c r="W277" s="8">
        <v>0</v>
      </c>
      <c r="X277" s="8">
        <v>0</v>
      </c>
      <c r="Y277" s="8">
        <v>0</v>
      </c>
      <c r="Z277" s="8">
        <v>0</v>
      </c>
      <c r="AA277" s="8">
        <v>0</v>
      </c>
      <c r="AB277" s="8">
        <v>0</v>
      </c>
      <c r="AC277" s="8">
        <v>0</v>
      </c>
      <c r="AD277" s="14">
        <f t="shared" si="23"/>
        <v>99.999999999999986</v>
      </c>
      <c r="AE277" s="8">
        <f>1.8*100/14</f>
        <v>12.857142857142858</v>
      </c>
      <c r="AF277" s="8">
        <v>0</v>
      </c>
      <c r="AG277" s="8">
        <v>0</v>
      </c>
      <c r="AH277" s="8">
        <v>0</v>
      </c>
      <c r="AJ277" s="7"/>
      <c r="AK277" s="62"/>
      <c r="AL277" s="158"/>
      <c r="AM277" s="85"/>
      <c r="AN277" s="85"/>
      <c r="AO277" s="85"/>
      <c r="AP277" s="85"/>
      <c r="AQ277" s="85"/>
      <c r="AR277" s="85"/>
      <c r="AS277" s="85"/>
      <c r="AT277" s="205"/>
      <c r="AU277" s="85"/>
      <c r="AV277" s="196"/>
      <c r="AW277" s="85"/>
      <c r="AX277" s="85"/>
      <c r="AY277" s="39"/>
      <c r="AZ277" s="7">
        <v>312</v>
      </c>
      <c r="BA277" s="62"/>
      <c r="BB277" s="7" t="s">
        <v>523</v>
      </c>
      <c r="BC277" s="7" t="s">
        <v>686</v>
      </c>
      <c r="BD277" s="7"/>
      <c r="BE277" s="7"/>
      <c r="BF277" s="39"/>
      <c r="BG277" s="7"/>
      <c r="BH277" s="62"/>
      <c r="BI277" s="7"/>
      <c r="BJ277" s="32"/>
      <c r="BK277" s="226"/>
    </row>
    <row r="278" spans="1:63" ht="23.25" customHeight="1" x14ac:dyDescent="0.2">
      <c r="A278" s="62">
        <v>277</v>
      </c>
      <c r="B278" s="221"/>
      <c r="C278" s="221"/>
      <c r="D278" s="223"/>
      <c r="E278" s="54" t="s">
        <v>335</v>
      </c>
      <c r="F278" s="16">
        <v>81.064285714285703</v>
      </c>
      <c r="G278" s="8">
        <v>9.2857142857142794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2.50714285714285</v>
      </c>
      <c r="Q278" s="8">
        <v>0</v>
      </c>
      <c r="R278" s="8">
        <v>0</v>
      </c>
      <c r="S278" s="17">
        <v>0</v>
      </c>
      <c r="T278" s="8">
        <v>7.1428571428571397</v>
      </c>
      <c r="U278" s="8">
        <v>0</v>
      </c>
      <c r="V278" s="8">
        <v>0</v>
      </c>
      <c r="W278" s="8">
        <v>0</v>
      </c>
      <c r="X278" s="8">
        <v>0</v>
      </c>
      <c r="Y278" s="8">
        <v>0</v>
      </c>
      <c r="Z278" s="8">
        <v>0</v>
      </c>
      <c r="AA278" s="8">
        <v>0</v>
      </c>
      <c r="AB278" s="8">
        <v>0</v>
      </c>
      <c r="AC278" s="8">
        <v>0</v>
      </c>
      <c r="AD278" s="14">
        <f t="shared" si="23"/>
        <v>99.999999999999972</v>
      </c>
      <c r="AE278" s="8">
        <f>1.8*100/14</f>
        <v>12.857142857142858</v>
      </c>
      <c r="AF278" s="8">
        <v>0</v>
      </c>
      <c r="AG278" s="8">
        <v>0</v>
      </c>
      <c r="AH278" s="8">
        <v>0</v>
      </c>
      <c r="AJ278" s="7"/>
      <c r="AK278" s="62"/>
      <c r="AL278" s="158"/>
      <c r="AM278" s="85"/>
      <c r="AN278" s="85"/>
      <c r="AO278" s="85"/>
      <c r="AP278" s="85"/>
      <c r="AQ278" s="85"/>
      <c r="AR278" s="85"/>
      <c r="AS278" s="85"/>
      <c r="AT278" s="205"/>
      <c r="AU278" s="85"/>
      <c r="AV278" s="196"/>
      <c r="AW278" s="85"/>
      <c r="AX278" s="85"/>
      <c r="AY278" s="39"/>
      <c r="AZ278" s="7">
        <v>287</v>
      </c>
      <c r="BA278" s="62"/>
      <c r="BB278" s="7" t="s">
        <v>523</v>
      </c>
      <c r="BC278" s="7" t="s">
        <v>687</v>
      </c>
      <c r="BD278" s="7"/>
      <c r="BE278" s="7"/>
      <c r="BF278" s="39"/>
      <c r="BG278" s="7"/>
      <c r="BH278" s="62"/>
      <c r="BI278" s="7"/>
      <c r="BJ278" s="32"/>
      <c r="BK278" s="226"/>
    </row>
    <row r="279" spans="1:63" ht="23.25" customHeight="1" x14ac:dyDescent="0.2">
      <c r="A279" s="7">
        <v>278</v>
      </c>
      <c r="B279" s="221"/>
      <c r="C279" s="221"/>
      <c r="D279" s="223" t="s">
        <v>358</v>
      </c>
      <c r="E279" s="54" t="s">
        <v>305</v>
      </c>
      <c r="F279" s="16">
        <v>81.599999999999994</v>
      </c>
      <c r="G279" s="8">
        <v>7.8571428571428585</v>
      </c>
      <c r="H279" s="8">
        <v>0</v>
      </c>
      <c r="I279" s="8">
        <v>0</v>
      </c>
      <c r="J279" s="8">
        <v>3.4000000000000004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17">
        <v>0</v>
      </c>
      <c r="T279" s="8">
        <v>7.1428571428571423</v>
      </c>
      <c r="U279" s="8">
        <v>0</v>
      </c>
      <c r="V279" s="8">
        <v>0</v>
      </c>
      <c r="W279" s="8">
        <v>0</v>
      </c>
      <c r="X279" s="8">
        <v>0</v>
      </c>
      <c r="Y279" s="8">
        <v>0</v>
      </c>
      <c r="Z279" s="8">
        <v>0</v>
      </c>
      <c r="AA279" s="8">
        <v>0</v>
      </c>
      <c r="AB279" s="8">
        <v>0</v>
      </c>
      <c r="AC279" s="8">
        <v>0</v>
      </c>
      <c r="AD279" s="14">
        <f t="shared" si="23"/>
        <v>100</v>
      </c>
      <c r="AE279" s="8">
        <v>0</v>
      </c>
      <c r="AF279" s="8">
        <v>0</v>
      </c>
      <c r="AG279" s="8">
        <v>0</v>
      </c>
      <c r="AH279" s="8">
        <v>0</v>
      </c>
      <c r="AJ279" s="7"/>
      <c r="AK279" s="62"/>
      <c r="AL279" s="158"/>
      <c r="AM279" s="85"/>
      <c r="AN279" s="85"/>
      <c r="AO279" s="85"/>
      <c r="AP279" s="85"/>
      <c r="AQ279" s="85"/>
      <c r="AR279" s="85"/>
      <c r="AS279" s="85"/>
      <c r="AT279" s="205"/>
      <c r="AU279" s="85"/>
      <c r="AV279" s="196"/>
      <c r="AW279" s="85"/>
      <c r="AX279" s="85"/>
      <c r="AY279" s="39"/>
      <c r="AZ279" s="7">
        <v>243</v>
      </c>
      <c r="BA279" s="62"/>
      <c r="BB279" s="7" t="s">
        <v>523</v>
      </c>
      <c r="BC279" s="7" t="s">
        <v>688</v>
      </c>
      <c r="BD279" s="7"/>
      <c r="BE279" s="7"/>
      <c r="BF279" s="39"/>
      <c r="BG279" s="7"/>
      <c r="BH279" s="62"/>
      <c r="BI279" s="7"/>
      <c r="BJ279" s="32"/>
      <c r="BK279" s="54"/>
    </row>
    <row r="280" spans="1:63" ht="23.25" customHeight="1" x14ac:dyDescent="0.2">
      <c r="A280" s="62">
        <v>279</v>
      </c>
      <c r="B280" s="221"/>
      <c r="C280" s="221"/>
      <c r="D280" s="223"/>
      <c r="E280" s="54" t="s">
        <v>307</v>
      </c>
      <c r="F280" s="16">
        <v>79.900000000000006</v>
      </c>
      <c r="G280" s="8">
        <v>7.8571428571428585</v>
      </c>
      <c r="H280" s="8">
        <v>0</v>
      </c>
      <c r="I280" s="8">
        <v>0</v>
      </c>
      <c r="J280" s="8">
        <v>5.0999999999999996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17">
        <v>0</v>
      </c>
      <c r="T280" s="8">
        <v>7.1428571428571423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0</v>
      </c>
      <c r="AB280" s="8">
        <v>0</v>
      </c>
      <c r="AC280" s="8">
        <v>0</v>
      </c>
      <c r="AD280" s="14">
        <f t="shared" ref="AD280:AD341" si="26">SUM(F280:AC280)</f>
        <v>100</v>
      </c>
      <c r="AE280" s="8">
        <v>0</v>
      </c>
      <c r="AF280" s="8">
        <v>0</v>
      </c>
      <c r="AG280" s="8">
        <v>0</v>
      </c>
      <c r="AH280" s="8">
        <v>0</v>
      </c>
      <c r="AJ280" s="7"/>
      <c r="AK280" s="62"/>
      <c r="AL280" s="158"/>
      <c r="AM280" s="85"/>
      <c r="AN280" s="85"/>
      <c r="AO280" s="85"/>
      <c r="AP280" s="85"/>
      <c r="AQ280" s="85"/>
      <c r="AR280" s="85"/>
      <c r="AS280" s="85"/>
      <c r="AT280" s="205"/>
      <c r="AU280" s="85"/>
      <c r="AV280" s="196"/>
      <c r="AW280" s="85"/>
      <c r="AX280" s="85"/>
      <c r="AY280" s="39"/>
      <c r="AZ280" s="7">
        <v>274</v>
      </c>
      <c r="BA280" s="62"/>
      <c r="BB280" s="7" t="s">
        <v>523</v>
      </c>
      <c r="BC280" s="7" t="s">
        <v>689</v>
      </c>
      <c r="BD280" s="7"/>
      <c r="BE280" s="7"/>
      <c r="BF280" s="39"/>
      <c r="BG280" s="7"/>
      <c r="BH280" s="62"/>
      <c r="BI280" s="7"/>
      <c r="BJ280" s="32"/>
      <c r="BK280" s="59"/>
    </row>
    <row r="281" spans="1:63" ht="23.25" customHeight="1" x14ac:dyDescent="0.2">
      <c r="A281" s="7">
        <v>280</v>
      </c>
      <c r="B281" s="221"/>
      <c r="C281" s="221"/>
      <c r="D281" s="223"/>
      <c r="E281" s="54" t="s">
        <v>308</v>
      </c>
      <c r="F281" s="16">
        <v>78.2</v>
      </c>
      <c r="G281" s="8">
        <v>7.8571428571428585</v>
      </c>
      <c r="H281" s="8">
        <v>0</v>
      </c>
      <c r="I281" s="8">
        <v>0</v>
      </c>
      <c r="J281" s="8">
        <v>6.8000000000000007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17">
        <v>0</v>
      </c>
      <c r="T281" s="8">
        <v>7.1428571428571397</v>
      </c>
      <c r="U281" s="8">
        <v>0</v>
      </c>
      <c r="V281" s="8">
        <v>0</v>
      </c>
      <c r="W281" s="8">
        <v>0</v>
      </c>
      <c r="X281" s="8">
        <v>0</v>
      </c>
      <c r="Y281" s="8">
        <v>0</v>
      </c>
      <c r="Z281" s="8">
        <v>0</v>
      </c>
      <c r="AA281" s="8">
        <v>0</v>
      </c>
      <c r="AB281" s="8">
        <v>0</v>
      </c>
      <c r="AC281" s="8">
        <v>0</v>
      </c>
      <c r="AD281" s="14">
        <f t="shared" si="26"/>
        <v>100</v>
      </c>
      <c r="AE281" s="8">
        <v>0</v>
      </c>
      <c r="AF281" s="8">
        <v>0</v>
      </c>
      <c r="AG281" s="8">
        <v>0</v>
      </c>
      <c r="AH281" s="8">
        <v>0</v>
      </c>
      <c r="AJ281" s="7"/>
      <c r="AK281" s="62"/>
      <c r="AL281" s="158"/>
      <c r="AM281" s="85"/>
      <c r="AN281" s="85"/>
      <c r="AO281" s="85"/>
      <c r="AP281" s="85"/>
      <c r="AQ281" s="85"/>
      <c r="AR281" s="85"/>
      <c r="AS281" s="85"/>
      <c r="AT281" s="205"/>
      <c r="AU281" s="85"/>
      <c r="AV281" s="196"/>
      <c r="AW281" s="85"/>
      <c r="AX281" s="85"/>
      <c r="AY281" s="39"/>
      <c r="AZ281" s="7">
        <v>301</v>
      </c>
      <c r="BA281" s="62"/>
      <c r="BB281" s="7" t="s">
        <v>523</v>
      </c>
      <c r="BC281" s="7" t="s">
        <v>690</v>
      </c>
      <c r="BD281" s="7"/>
      <c r="BE281" s="7"/>
      <c r="BF281" s="39"/>
      <c r="BG281" s="7"/>
      <c r="BH281" s="62"/>
      <c r="BI281" s="7"/>
      <c r="BJ281" s="32"/>
      <c r="BK281" s="59"/>
    </row>
    <row r="282" spans="1:63" ht="23.25" customHeight="1" x14ac:dyDescent="0.2">
      <c r="A282" s="62">
        <v>281</v>
      </c>
      <c r="B282" s="221"/>
      <c r="C282" s="221"/>
      <c r="D282" s="54" t="s">
        <v>84</v>
      </c>
      <c r="E282" s="54"/>
      <c r="F282" s="16">
        <f>11.5/14*100</f>
        <v>82.142857142857139</v>
      </c>
      <c r="G282" s="8">
        <f>1.5/14*100</f>
        <v>10.714285714285714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17">
        <v>0</v>
      </c>
      <c r="T282" s="8">
        <f>0.5/14*100</f>
        <v>3.5714285714285712</v>
      </c>
      <c r="U282" s="8">
        <v>0</v>
      </c>
      <c r="V282" s="8">
        <v>0</v>
      </c>
      <c r="W282" s="8">
        <f>0.5/14*100</f>
        <v>3.5714285714285712</v>
      </c>
      <c r="X282" s="8">
        <v>0</v>
      </c>
      <c r="Y282" s="8">
        <v>0</v>
      </c>
      <c r="Z282" s="8">
        <v>0</v>
      </c>
      <c r="AA282" s="8">
        <v>0</v>
      </c>
      <c r="AB282" s="8">
        <v>0</v>
      </c>
      <c r="AC282" s="8">
        <v>0</v>
      </c>
      <c r="AD282" s="14">
        <f t="shared" si="26"/>
        <v>99.999999999999986</v>
      </c>
      <c r="AE282" s="8">
        <v>0</v>
      </c>
      <c r="AF282" s="8">
        <v>0</v>
      </c>
      <c r="AG282" s="8">
        <v>0</v>
      </c>
      <c r="AH282" s="8">
        <v>0</v>
      </c>
      <c r="AJ282" s="7"/>
      <c r="AK282" s="62"/>
      <c r="AL282" s="158"/>
      <c r="AM282" s="85"/>
      <c r="AN282" s="85"/>
      <c r="AO282" s="85"/>
      <c r="AP282" s="85"/>
      <c r="AQ282" s="85"/>
      <c r="AR282" s="85"/>
      <c r="AS282" s="85"/>
      <c r="AT282" s="205"/>
      <c r="AU282" s="85"/>
      <c r="AV282" s="196"/>
      <c r="AW282" s="85"/>
      <c r="AX282" s="85"/>
      <c r="AY282" s="39"/>
      <c r="AZ282" s="7">
        <v>211</v>
      </c>
      <c r="BA282" s="62"/>
      <c r="BB282" s="7" t="s">
        <v>523</v>
      </c>
      <c r="BC282" s="7" t="s">
        <v>691</v>
      </c>
      <c r="BD282" s="7"/>
      <c r="BE282" s="7"/>
      <c r="BF282" s="39"/>
      <c r="BG282" s="7"/>
      <c r="BH282" s="62"/>
      <c r="BI282" s="7"/>
      <c r="BJ282" s="32"/>
      <c r="BK282" s="59"/>
    </row>
    <row r="283" spans="1:63" ht="23.25" customHeight="1" x14ac:dyDescent="0.2">
      <c r="A283" s="7">
        <v>282</v>
      </c>
      <c r="B283" s="221"/>
      <c r="C283" s="221"/>
      <c r="D283" s="54" t="s">
        <v>85</v>
      </c>
      <c r="E283" s="54"/>
      <c r="F283" s="16">
        <v>76.428571428571416</v>
      </c>
      <c r="G283" s="8">
        <v>10.714285714285714</v>
      </c>
      <c r="H283" s="8">
        <v>0</v>
      </c>
      <c r="I283" s="8">
        <v>0</v>
      </c>
      <c r="J283" s="8">
        <v>5.7142857142857144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17">
        <v>0</v>
      </c>
      <c r="T283" s="8">
        <v>5</v>
      </c>
      <c r="U283" s="8">
        <v>2.1428571428571428</v>
      </c>
      <c r="V283" s="8">
        <v>0</v>
      </c>
      <c r="W283" s="8">
        <v>0</v>
      </c>
      <c r="X283" s="8">
        <v>0</v>
      </c>
      <c r="Y283" s="8">
        <v>0</v>
      </c>
      <c r="Z283" s="8">
        <v>0</v>
      </c>
      <c r="AA283" s="8">
        <v>0</v>
      </c>
      <c r="AB283" s="8">
        <v>0</v>
      </c>
      <c r="AC283" s="8">
        <v>0</v>
      </c>
      <c r="AD283" s="14">
        <f t="shared" si="26"/>
        <v>99.999999999999972</v>
      </c>
      <c r="AE283" s="8">
        <v>0</v>
      </c>
      <c r="AF283" s="8">
        <v>0</v>
      </c>
      <c r="AG283" s="8">
        <v>0</v>
      </c>
      <c r="AH283" s="8">
        <v>0</v>
      </c>
      <c r="AJ283" s="7"/>
      <c r="AK283" s="62"/>
      <c r="AL283" s="158"/>
      <c r="AM283" s="85"/>
      <c r="AN283" s="85"/>
      <c r="AO283" s="85"/>
      <c r="AP283" s="85"/>
      <c r="AQ283" s="85"/>
      <c r="AR283" s="85"/>
      <c r="AS283" s="85"/>
      <c r="AT283" s="205"/>
      <c r="AU283" s="85"/>
      <c r="AV283" s="196"/>
      <c r="AW283" s="85"/>
      <c r="AX283" s="85"/>
      <c r="AY283" s="39"/>
      <c r="AZ283" s="7">
        <v>280</v>
      </c>
      <c r="BA283" s="62"/>
      <c r="BB283" s="7" t="s">
        <v>523</v>
      </c>
      <c r="BC283" s="7" t="s">
        <v>692</v>
      </c>
      <c r="BD283" s="7"/>
      <c r="BE283" s="7"/>
      <c r="BF283" s="39"/>
      <c r="BG283" s="7"/>
      <c r="BH283" s="62"/>
      <c r="BI283" s="7"/>
      <c r="BJ283" s="32"/>
      <c r="BK283" s="59"/>
    </row>
    <row r="284" spans="1:63" ht="23.25" customHeight="1" x14ac:dyDescent="0.2">
      <c r="A284" s="62">
        <v>283</v>
      </c>
      <c r="B284" s="221"/>
      <c r="C284" s="221"/>
      <c r="D284" s="54" t="s">
        <v>86</v>
      </c>
      <c r="E284" s="54"/>
      <c r="F284" s="16">
        <v>76.428571428571416</v>
      </c>
      <c r="G284" s="8">
        <v>10.714285714285714</v>
      </c>
      <c r="H284" s="8">
        <v>0</v>
      </c>
      <c r="I284" s="8">
        <v>0</v>
      </c>
      <c r="J284" s="8">
        <v>5.7142857142857144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17">
        <v>0</v>
      </c>
      <c r="T284" s="8">
        <v>3.5714285714285712</v>
      </c>
      <c r="U284" s="8">
        <v>0</v>
      </c>
      <c r="V284" s="8">
        <v>0</v>
      </c>
      <c r="W284" s="8">
        <v>3.5714285714285712</v>
      </c>
      <c r="X284" s="8">
        <v>0</v>
      </c>
      <c r="Y284" s="8">
        <v>0</v>
      </c>
      <c r="Z284" s="8">
        <v>0</v>
      </c>
      <c r="AA284" s="8">
        <v>0</v>
      </c>
      <c r="AB284" s="8">
        <v>0</v>
      </c>
      <c r="AC284" s="8">
        <v>0</v>
      </c>
      <c r="AD284" s="14">
        <f t="shared" si="26"/>
        <v>99.999999999999972</v>
      </c>
      <c r="AE284" s="8">
        <v>0</v>
      </c>
      <c r="AF284" s="8">
        <v>0</v>
      </c>
      <c r="AG284" s="8">
        <v>0</v>
      </c>
      <c r="AH284" s="8">
        <v>0</v>
      </c>
      <c r="AJ284" s="7"/>
      <c r="AK284" s="62"/>
      <c r="AL284" s="158"/>
      <c r="AM284" s="85"/>
      <c r="AN284" s="85"/>
      <c r="AO284" s="85"/>
      <c r="AP284" s="85"/>
      <c r="AQ284" s="85"/>
      <c r="AR284" s="85"/>
      <c r="AS284" s="85"/>
      <c r="AT284" s="205"/>
      <c r="AU284" s="85"/>
      <c r="AV284" s="196"/>
      <c r="AW284" s="85"/>
      <c r="AX284" s="85"/>
      <c r="AY284" s="39"/>
      <c r="AZ284" s="7">
        <v>272</v>
      </c>
      <c r="BA284" s="62"/>
      <c r="BB284" s="7" t="s">
        <v>523</v>
      </c>
      <c r="BC284" s="7" t="s">
        <v>693</v>
      </c>
      <c r="BD284" s="7"/>
      <c r="BE284" s="7"/>
      <c r="BF284" s="39"/>
      <c r="BG284" s="7"/>
      <c r="BH284" s="62"/>
      <c r="BI284" s="7"/>
      <c r="BJ284" s="32"/>
      <c r="BK284" s="59"/>
    </row>
    <row r="285" spans="1:63" s="6" customFormat="1" ht="23.25" customHeight="1" thickBot="1" x14ac:dyDescent="0.25">
      <c r="A285" s="7">
        <v>284</v>
      </c>
      <c r="B285" s="222"/>
      <c r="C285" s="222"/>
      <c r="D285" s="13" t="s">
        <v>87</v>
      </c>
      <c r="E285" s="13"/>
      <c r="F285" s="80">
        <v>75</v>
      </c>
      <c r="G285" s="81">
        <v>10.714285714285714</v>
      </c>
      <c r="H285" s="81">
        <v>0</v>
      </c>
      <c r="I285" s="81">
        <v>0</v>
      </c>
      <c r="J285" s="81">
        <v>7.1428571428571423</v>
      </c>
      <c r="K285" s="81">
        <v>0</v>
      </c>
      <c r="L285" s="81">
        <v>0</v>
      </c>
      <c r="M285" s="81">
        <v>0</v>
      </c>
      <c r="N285" s="81">
        <v>0</v>
      </c>
      <c r="O285" s="81">
        <v>0</v>
      </c>
      <c r="P285" s="81">
        <v>0</v>
      </c>
      <c r="Q285" s="81">
        <v>0</v>
      </c>
      <c r="R285" s="81">
        <v>0</v>
      </c>
      <c r="S285" s="82">
        <v>0</v>
      </c>
      <c r="T285" s="81">
        <v>3.5714285714285712</v>
      </c>
      <c r="U285" s="81">
        <v>0</v>
      </c>
      <c r="V285" s="81">
        <v>0</v>
      </c>
      <c r="W285" s="81">
        <v>3.5714285714285712</v>
      </c>
      <c r="X285" s="81">
        <v>0</v>
      </c>
      <c r="Y285" s="81">
        <v>0</v>
      </c>
      <c r="Z285" s="81">
        <v>0</v>
      </c>
      <c r="AA285" s="81">
        <v>0</v>
      </c>
      <c r="AB285" s="81">
        <v>0</v>
      </c>
      <c r="AC285" s="81">
        <v>0</v>
      </c>
      <c r="AD285" s="83">
        <f t="shared" si="26"/>
        <v>99.999999999999986</v>
      </c>
      <c r="AE285" s="81">
        <v>0</v>
      </c>
      <c r="AF285" s="81">
        <v>0</v>
      </c>
      <c r="AG285" s="81">
        <v>0</v>
      </c>
      <c r="AH285" s="81">
        <v>0</v>
      </c>
      <c r="AI285" s="79"/>
      <c r="AJ285" s="65"/>
      <c r="AK285" s="78"/>
      <c r="AL285" s="200"/>
      <c r="AM285" s="190"/>
      <c r="AN285" s="190"/>
      <c r="AO285" s="190"/>
      <c r="AP285" s="190"/>
      <c r="AQ285" s="190"/>
      <c r="AR285" s="190"/>
      <c r="AS285" s="190"/>
      <c r="AT285" s="201"/>
      <c r="AU285" s="190"/>
      <c r="AV285" s="202"/>
      <c r="AW285" s="190"/>
      <c r="AX285" s="190"/>
      <c r="AY285" s="79"/>
      <c r="AZ285" s="65">
        <v>295</v>
      </c>
      <c r="BA285" s="78"/>
      <c r="BB285" s="65" t="s">
        <v>523</v>
      </c>
      <c r="BC285" s="65" t="s">
        <v>694</v>
      </c>
      <c r="BD285" s="65"/>
      <c r="BE285" s="65"/>
      <c r="BF285" s="79"/>
      <c r="BG285" s="65"/>
      <c r="BH285" s="78"/>
      <c r="BI285" s="65"/>
      <c r="BJ285" s="68"/>
      <c r="BK285" s="42"/>
    </row>
    <row r="286" spans="1:63" ht="23.25" customHeight="1" thickBot="1" x14ac:dyDescent="0.25">
      <c r="A286" s="62">
        <v>285</v>
      </c>
      <c r="B286" s="221">
        <v>99</v>
      </c>
      <c r="C286" s="221" t="s">
        <v>1553</v>
      </c>
      <c r="D286" s="225" t="s">
        <v>265</v>
      </c>
      <c r="E286" s="54" t="s">
        <v>363</v>
      </c>
      <c r="F286" s="16">
        <v>80.571428571428584</v>
      </c>
      <c r="G286" s="8">
        <v>8.5714285714285712</v>
      </c>
      <c r="H286" s="8">
        <v>0</v>
      </c>
      <c r="I286" s="8">
        <v>0</v>
      </c>
      <c r="J286" s="8">
        <v>3.7142857142857144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17">
        <v>0</v>
      </c>
      <c r="T286" s="8">
        <v>7.1428571428571423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  <c r="AD286" s="14">
        <f t="shared" si="26"/>
        <v>100</v>
      </c>
      <c r="AE286" s="8">
        <v>0</v>
      </c>
      <c r="AF286" s="8">
        <v>0</v>
      </c>
      <c r="AG286" s="8">
        <v>0</v>
      </c>
      <c r="AH286" s="8">
        <v>0</v>
      </c>
      <c r="AI286" s="39" t="s">
        <v>1531</v>
      </c>
      <c r="AJ286" s="7">
        <v>360</v>
      </c>
      <c r="AK286" s="62">
        <v>1323</v>
      </c>
      <c r="AL286" s="158">
        <v>82</v>
      </c>
      <c r="AM286" s="85"/>
      <c r="AN286" s="85"/>
      <c r="AO286" s="85"/>
      <c r="AP286" s="85"/>
      <c r="AQ286" s="85"/>
      <c r="AR286" s="85"/>
      <c r="AS286" s="85"/>
      <c r="AT286" s="205"/>
      <c r="AU286" s="85">
        <v>1</v>
      </c>
      <c r="AV286" s="196">
        <f t="shared" ref="AV286:AV301" si="27">SUM(AL286:AT286)</f>
        <v>82</v>
      </c>
      <c r="AW286" s="85">
        <v>11.468999999999999</v>
      </c>
      <c r="AX286" s="85"/>
      <c r="AY286" s="39"/>
      <c r="AZ286" s="7">
        <v>245.2</v>
      </c>
      <c r="BA286" s="62"/>
      <c r="BB286" s="7" t="s">
        <v>590</v>
      </c>
      <c r="BC286" s="7" t="s">
        <v>767</v>
      </c>
      <c r="BD286" s="7" t="s">
        <v>768</v>
      </c>
      <c r="BE286" s="7" t="s">
        <v>773</v>
      </c>
      <c r="BF286" s="39"/>
      <c r="BG286" s="7"/>
      <c r="BH286" s="62"/>
      <c r="BI286" s="7"/>
      <c r="BJ286" s="32"/>
      <c r="BK286" s="257" t="s">
        <v>1751</v>
      </c>
    </row>
    <row r="287" spans="1:63" ht="23.25" customHeight="1" thickBot="1" x14ac:dyDescent="0.25">
      <c r="A287" s="7">
        <v>286</v>
      </c>
      <c r="B287" s="221"/>
      <c r="C287" s="221"/>
      <c r="D287" s="223"/>
      <c r="E287" s="54" t="s">
        <v>364</v>
      </c>
      <c r="F287" s="16">
        <v>79.571428571428569</v>
      </c>
      <c r="G287" s="8">
        <v>8.5714285714285712</v>
      </c>
      <c r="H287" s="8">
        <v>0</v>
      </c>
      <c r="I287" s="8">
        <v>0</v>
      </c>
      <c r="J287" s="8">
        <v>4.7142857142857144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17">
        <v>0</v>
      </c>
      <c r="T287" s="8">
        <v>7.1428571428571423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  <c r="AB287" s="8">
        <v>0</v>
      </c>
      <c r="AC287" s="8">
        <v>0</v>
      </c>
      <c r="AD287" s="14">
        <f t="shared" si="26"/>
        <v>99.999999999999986</v>
      </c>
      <c r="AE287" s="8">
        <v>0</v>
      </c>
      <c r="AF287" s="8">
        <v>0</v>
      </c>
      <c r="AG287" s="8">
        <v>0</v>
      </c>
      <c r="AH287" s="8">
        <v>0</v>
      </c>
      <c r="AI287" s="39" t="s">
        <v>1531</v>
      </c>
      <c r="AJ287" s="7">
        <v>360</v>
      </c>
      <c r="AK287" s="62">
        <v>1323</v>
      </c>
      <c r="AL287" s="158">
        <v>94</v>
      </c>
      <c r="AM287" s="85"/>
      <c r="AN287" s="85"/>
      <c r="AO287" s="85"/>
      <c r="AP287" s="85"/>
      <c r="AQ287" s="85"/>
      <c r="AR287" s="85"/>
      <c r="AS287" s="85"/>
      <c r="AT287" s="205"/>
      <c r="AU287" s="85">
        <v>1</v>
      </c>
      <c r="AV287" s="196">
        <f t="shared" si="27"/>
        <v>94</v>
      </c>
      <c r="AW287" s="85">
        <v>11.476000000000001</v>
      </c>
      <c r="AX287" s="85"/>
      <c r="AY287" s="39"/>
      <c r="AZ287" s="7">
        <v>262.39999999999998</v>
      </c>
      <c r="BA287" s="62"/>
      <c r="BB287" s="7" t="s">
        <v>590</v>
      </c>
      <c r="BC287" s="7" t="s">
        <v>766</v>
      </c>
      <c r="BD287" s="7" t="s">
        <v>769</v>
      </c>
      <c r="BE287" s="7" t="s">
        <v>774</v>
      </c>
      <c r="BF287" s="39"/>
      <c r="BG287" s="7"/>
      <c r="BH287" s="62"/>
      <c r="BI287" s="7"/>
      <c r="BJ287" s="32"/>
      <c r="BK287" s="256"/>
    </row>
    <row r="288" spans="1:63" ht="23.25" customHeight="1" thickBot="1" x14ac:dyDescent="0.25">
      <c r="A288" s="62">
        <v>287</v>
      </c>
      <c r="B288" s="221"/>
      <c r="C288" s="221"/>
      <c r="D288" s="223"/>
      <c r="E288" s="54" t="s">
        <v>283</v>
      </c>
      <c r="F288" s="16">
        <v>78.571428571428569</v>
      </c>
      <c r="G288" s="8">
        <v>8.5714285714285712</v>
      </c>
      <c r="H288" s="8">
        <v>0</v>
      </c>
      <c r="I288" s="8">
        <v>0</v>
      </c>
      <c r="J288" s="8">
        <v>5.7142857142857144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17">
        <v>0</v>
      </c>
      <c r="T288" s="8">
        <v>7.1428571428571423</v>
      </c>
      <c r="U288" s="8">
        <v>0</v>
      </c>
      <c r="V288" s="8">
        <v>0</v>
      </c>
      <c r="W288" s="8">
        <v>0</v>
      </c>
      <c r="X288" s="8">
        <v>0</v>
      </c>
      <c r="Y288" s="8">
        <v>0</v>
      </c>
      <c r="Z288" s="8">
        <v>0</v>
      </c>
      <c r="AA288" s="8">
        <v>0</v>
      </c>
      <c r="AB288" s="8">
        <v>0</v>
      </c>
      <c r="AC288" s="8">
        <v>0</v>
      </c>
      <c r="AD288" s="14">
        <f t="shared" si="26"/>
        <v>99.999999999999986</v>
      </c>
      <c r="AE288" s="8">
        <v>0</v>
      </c>
      <c r="AF288" s="8">
        <v>0</v>
      </c>
      <c r="AG288" s="8">
        <v>0</v>
      </c>
      <c r="AH288" s="8">
        <v>0</v>
      </c>
      <c r="AI288" s="39" t="s">
        <v>1531</v>
      </c>
      <c r="AJ288" s="7">
        <v>360</v>
      </c>
      <c r="AK288" s="62">
        <v>1323</v>
      </c>
      <c r="AL288" s="158">
        <v>88</v>
      </c>
      <c r="AM288" s="85"/>
      <c r="AN288" s="85"/>
      <c r="AO288" s="85"/>
      <c r="AP288" s="85"/>
      <c r="AQ288" s="85"/>
      <c r="AR288" s="85"/>
      <c r="AS288" s="85"/>
      <c r="AT288" s="205"/>
      <c r="AU288" s="85">
        <v>1</v>
      </c>
      <c r="AV288" s="196">
        <f t="shared" si="27"/>
        <v>88</v>
      </c>
      <c r="AW288" s="85">
        <v>11.481999999999999</v>
      </c>
      <c r="AX288" s="85"/>
      <c r="AY288" s="39"/>
      <c r="AZ288" s="7">
        <v>273.39999999999998</v>
      </c>
      <c r="BA288" s="62"/>
      <c r="BB288" s="7" t="s">
        <v>590</v>
      </c>
      <c r="BC288" s="7" t="s">
        <v>765</v>
      </c>
      <c r="BD288" s="7" t="s">
        <v>770</v>
      </c>
      <c r="BE288" s="7" t="s">
        <v>775</v>
      </c>
      <c r="BF288" s="39"/>
      <c r="BG288" s="7"/>
      <c r="BH288" s="62"/>
      <c r="BI288" s="7"/>
      <c r="BJ288" s="32"/>
      <c r="BK288" s="256"/>
    </row>
    <row r="289" spans="1:63" ht="23.25" customHeight="1" thickBot="1" x14ac:dyDescent="0.25">
      <c r="A289" s="7">
        <v>288</v>
      </c>
      <c r="B289" s="221"/>
      <c r="C289" s="221"/>
      <c r="D289" s="223"/>
      <c r="E289" s="54" t="s">
        <v>365</v>
      </c>
      <c r="F289" s="16">
        <v>77.571428571428584</v>
      </c>
      <c r="G289" s="8">
        <v>8.5714285714285712</v>
      </c>
      <c r="H289" s="8">
        <v>0</v>
      </c>
      <c r="I289" s="8">
        <v>0</v>
      </c>
      <c r="J289" s="8">
        <v>6.7142857142857144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17">
        <v>0</v>
      </c>
      <c r="T289" s="8">
        <v>7.1428571428571423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  <c r="AB289" s="8">
        <v>0</v>
      </c>
      <c r="AC289" s="8">
        <v>0</v>
      </c>
      <c r="AD289" s="14">
        <f t="shared" si="26"/>
        <v>100</v>
      </c>
      <c r="AE289" s="8">
        <v>0</v>
      </c>
      <c r="AF289" s="8">
        <v>0</v>
      </c>
      <c r="AG289" s="8">
        <v>0</v>
      </c>
      <c r="AH289" s="8">
        <v>0</v>
      </c>
      <c r="AI289" s="39" t="s">
        <v>1531</v>
      </c>
      <c r="AJ289" s="7">
        <v>360</v>
      </c>
      <c r="AK289" s="62">
        <v>1323</v>
      </c>
      <c r="AL289" s="158">
        <v>92</v>
      </c>
      <c r="AM289" s="85"/>
      <c r="AN289" s="85"/>
      <c r="AO289" s="85"/>
      <c r="AP289" s="85"/>
      <c r="AQ289" s="85"/>
      <c r="AR289" s="85"/>
      <c r="AS289" s="85"/>
      <c r="AT289" s="205"/>
      <c r="AU289" s="85">
        <v>1</v>
      </c>
      <c r="AV289" s="196">
        <f t="shared" si="27"/>
        <v>92</v>
      </c>
      <c r="AW289" s="85">
        <v>11.487</v>
      </c>
      <c r="AX289" s="85"/>
      <c r="AY289" s="39"/>
      <c r="AZ289" s="7">
        <v>289</v>
      </c>
      <c r="BA289" s="62"/>
      <c r="BB289" s="7" t="s">
        <v>590</v>
      </c>
      <c r="BC289" s="7" t="s">
        <v>764</v>
      </c>
      <c r="BD289" s="7" t="s">
        <v>771</v>
      </c>
      <c r="BE289" s="85" t="s">
        <v>1753</v>
      </c>
      <c r="BF289" s="39"/>
      <c r="BG289" s="7"/>
      <c r="BH289" s="62"/>
      <c r="BI289" s="7"/>
      <c r="BJ289" s="32"/>
      <c r="BK289" s="256"/>
    </row>
    <row r="290" spans="1:63" ht="23.25" customHeight="1" thickBot="1" x14ac:dyDescent="0.25">
      <c r="A290" s="62">
        <v>289</v>
      </c>
      <c r="B290" s="221"/>
      <c r="C290" s="221"/>
      <c r="D290" s="224"/>
      <c r="E290" s="54" t="s">
        <v>366</v>
      </c>
      <c r="F290" s="16">
        <v>76.571428571428584</v>
      </c>
      <c r="G290" s="8">
        <v>8.5714285714285712</v>
      </c>
      <c r="H290" s="8">
        <v>0</v>
      </c>
      <c r="I290" s="8">
        <v>0</v>
      </c>
      <c r="J290" s="8">
        <v>7.7142857142857153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17">
        <v>0</v>
      </c>
      <c r="T290" s="8">
        <v>7.1428571428571423</v>
      </c>
      <c r="U290" s="8">
        <v>0</v>
      </c>
      <c r="V290" s="8">
        <v>0</v>
      </c>
      <c r="W290" s="8">
        <v>0</v>
      </c>
      <c r="X290" s="8">
        <v>0</v>
      </c>
      <c r="Y290" s="8">
        <v>0</v>
      </c>
      <c r="Z290" s="8">
        <v>0</v>
      </c>
      <c r="AA290" s="8">
        <v>0</v>
      </c>
      <c r="AB290" s="8">
        <v>0</v>
      </c>
      <c r="AC290" s="8">
        <v>0</v>
      </c>
      <c r="AD290" s="14">
        <f t="shared" si="26"/>
        <v>100</v>
      </c>
      <c r="AE290" s="8">
        <v>0</v>
      </c>
      <c r="AF290" s="8">
        <v>0</v>
      </c>
      <c r="AG290" s="8">
        <v>0</v>
      </c>
      <c r="AH290" s="8">
        <v>0</v>
      </c>
      <c r="AI290" s="39" t="s">
        <v>1531</v>
      </c>
      <c r="AJ290" s="7">
        <v>360</v>
      </c>
      <c r="AK290" s="62">
        <v>1323</v>
      </c>
      <c r="AL290" s="158">
        <v>92</v>
      </c>
      <c r="AM290" s="85"/>
      <c r="AN290" s="85"/>
      <c r="AO290" s="85"/>
      <c r="AP290" s="85"/>
      <c r="AQ290" s="85"/>
      <c r="AR290" s="85"/>
      <c r="AS290" s="85"/>
      <c r="AT290" s="205"/>
      <c r="AU290" s="85">
        <v>1</v>
      </c>
      <c r="AV290" s="196">
        <f t="shared" si="27"/>
        <v>92</v>
      </c>
      <c r="AW290" s="85"/>
      <c r="AX290" s="85">
        <v>11.502000000000001</v>
      </c>
      <c r="AY290" s="39"/>
      <c r="AZ290" s="7">
        <v>304</v>
      </c>
      <c r="BA290" s="62"/>
      <c r="BB290" s="7" t="s">
        <v>590</v>
      </c>
      <c r="BC290" s="7" t="s">
        <v>763</v>
      </c>
      <c r="BD290" s="7" t="s">
        <v>772</v>
      </c>
      <c r="BE290" s="7" t="s">
        <v>776</v>
      </c>
      <c r="BF290" s="39"/>
      <c r="BG290" s="7"/>
      <c r="BH290" s="62"/>
      <c r="BI290" s="7"/>
      <c r="BJ290" s="32"/>
      <c r="BK290" s="256"/>
    </row>
    <row r="291" spans="1:63" s="84" customFormat="1" ht="23.25" customHeight="1" thickBot="1" x14ac:dyDescent="0.25">
      <c r="A291" s="7">
        <v>290</v>
      </c>
      <c r="B291" s="70">
        <v>100</v>
      </c>
      <c r="C291" s="70" t="s">
        <v>1552</v>
      </c>
      <c r="D291" s="21" t="s">
        <v>88</v>
      </c>
      <c r="E291" s="21" t="s">
        <v>241</v>
      </c>
      <c r="F291" s="99">
        <v>82.142857142857139</v>
      </c>
      <c r="G291" s="100">
        <v>10.714285714285714</v>
      </c>
      <c r="H291" s="100">
        <v>0</v>
      </c>
      <c r="I291" s="100">
        <v>0</v>
      </c>
      <c r="J291" s="100">
        <v>0</v>
      </c>
      <c r="K291" s="100">
        <v>0</v>
      </c>
      <c r="L291" s="100">
        <v>0</v>
      </c>
      <c r="M291" s="100">
        <v>0</v>
      </c>
      <c r="N291" s="100">
        <v>0</v>
      </c>
      <c r="O291" s="100">
        <v>0</v>
      </c>
      <c r="P291" s="100">
        <v>0</v>
      </c>
      <c r="Q291" s="100">
        <v>0</v>
      </c>
      <c r="R291" s="100">
        <v>0</v>
      </c>
      <c r="S291" s="101">
        <v>0</v>
      </c>
      <c r="T291" s="100">
        <v>7.1428571428571423</v>
      </c>
      <c r="U291" s="100">
        <v>0</v>
      </c>
      <c r="V291" s="100">
        <v>0</v>
      </c>
      <c r="W291" s="100">
        <v>0</v>
      </c>
      <c r="X291" s="100">
        <v>0</v>
      </c>
      <c r="Y291" s="100">
        <v>0</v>
      </c>
      <c r="Z291" s="100">
        <v>0</v>
      </c>
      <c r="AA291" s="100">
        <v>0</v>
      </c>
      <c r="AB291" s="100">
        <v>0</v>
      </c>
      <c r="AC291" s="100">
        <v>0</v>
      </c>
      <c r="AD291" s="102">
        <f t="shared" si="26"/>
        <v>99.999999999999986</v>
      </c>
      <c r="AE291" s="100">
        <v>0</v>
      </c>
      <c r="AF291" s="100">
        <v>0</v>
      </c>
      <c r="AG291" s="100">
        <v>0</v>
      </c>
      <c r="AH291" s="100">
        <v>0</v>
      </c>
      <c r="AI291" s="120" t="s">
        <v>1531</v>
      </c>
      <c r="AJ291" s="98"/>
      <c r="AK291" s="105"/>
      <c r="AL291" s="206">
        <v>95.8</v>
      </c>
      <c r="AM291" s="194">
        <v>0</v>
      </c>
      <c r="AN291" s="194">
        <v>4.2</v>
      </c>
      <c r="AO291" s="194"/>
      <c r="AP291" s="194"/>
      <c r="AQ291" s="194"/>
      <c r="AR291" s="194"/>
      <c r="AS291" s="194"/>
      <c r="AT291" s="207"/>
      <c r="AU291" s="194">
        <v>1</v>
      </c>
      <c r="AV291" s="208">
        <f t="shared" si="27"/>
        <v>100</v>
      </c>
      <c r="AW291" s="194">
        <v>11.47</v>
      </c>
      <c r="AX291" s="194"/>
      <c r="AY291" s="120">
        <v>0.05</v>
      </c>
      <c r="AZ291" s="98">
        <v>183</v>
      </c>
      <c r="BA291" s="105"/>
      <c r="BB291" s="98">
        <v>5</v>
      </c>
      <c r="BC291" s="98">
        <v>21.3</v>
      </c>
      <c r="BD291" s="98">
        <v>190.9</v>
      </c>
      <c r="BE291" s="98">
        <v>22.1</v>
      </c>
      <c r="BF291" s="120"/>
      <c r="BG291" s="98"/>
      <c r="BH291" s="105"/>
      <c r="BI291" s="98"/>
      <c r="BJ291" s="70"/>
      <c r="BK291" s="69" t="s">
        <v>1752</v>
      </c>
    </row>
    <row r="292" spans="1:63" ht="23.25" customHeight="1" thickBot="1" x14ac:dyDescent="0.25">
      <c r="A292" s="62">
        <v>291</v>
      </c>
      <c r="B292" s="221">
        <v>103</v>
      </c>
      <c r="C292" s="221" t="s">
        <v>1444</v>
      </c>
      <c r="D292" s="54" t="s">
        <v>89</v>
      </c>
      <c r="E292" s="54"/>
      <c r="F292" s="16">
        <v>78.571428571428569</v>
      </c>
      <c r="G292" s="8">
        <v>8.5714285714285712</v>
      </c>
      <c r="H292" s="8">
        <v>0</v>
      </c>
      <c r="I292" s="8">
        <v>0</v>
      </c>
      <c r="J292" s="8">
        <v>5.7142857142857144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17">
        <v>0</v>
      </c>
      <c r="T292" s="8">
        <v>7.1428571428571423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  <c r="AD292" s="14">
        <f t="shared" si="26"/>
        <v>99.999999999999986</v>
      </c>
      <c r="AE292" s="8">
        <v>0</v>
      </c>
      <c r="AF292" s="8">
        <v>0</v>
      </c>
      <c r="AG292" s="8">
        <v>0</v>
      </c>
      <c r="AH292" s="8">
        <v>0</v>
      </c>
      <c r="AI292" s="39" t="s">
        <v>1531</v>
      </c>
      <c r="AJ292" s="7"/>
      <c r="AK292" s="62">
        <v>1323</v>
      </c>
      <c r="AL292" s="158"/>
      <c r="AM292" s="85">
        <v>6.5</v>
      </c>
      <c r="AN292" s="85"/>
      <c r="AO292" s="85"/>
      <c r="AP292" s="85"/>
      <c r="AQ292" s="85"/>
      <c r="AR292" s="85"/>
      <c r="AS292" s="85"/>
      <c r="AT292" s="205"/>
      <c r="AU292" s="85">
        <v>1</v>
      </c>
      <c r="AV292" s="196">
        <f t="shared" si="27"/>
        <v>6.5</v>
      </c>
      <c r="AW292" s="85"/>
      <c r="AX292" s="85"/>
      <c r="AY292" s="39"/>
      <c r="AZ292" s="7"/>
      <c r="BA292" s="62"/>
      <c r="BB292" s="7">
        <v>2</v>
      </c>
      <c r="BC292" s="7">
        <v>7.7</v>
      </c>
      <c r="BD292" s="7">
        <v>283.5</v>
      </c>
      <c r="BE292" s="7">
        <v>23.7</v>
      </c>
      <c r="BF292" s="39">
        <v>1.5</v>
      </c>
      <c r="BG292" s="7">
        <v>2.2000000000000002</v>
      </c>
      <c r="BH292" s="62">
        <v>287</v>
      </c>
      <c r="BI292" s="7">
        <v>7.3</v>
      </c>
      <c r="BJ292" s="32"/>
      <c r="BK292" s="256"/>
    </row>
    <row r="293" spans="1:63" ht="23.25" customHeight="1" thickBot="1" x14ac:dyDescent="0.25">
      <c r="A293" s="7">
        <v>292</v>
      </c>
      <c r="B293" s="221"/>
      <c r="C293" s="221"/>
      <c r="D293" s="54" t="s">
        <v>90</v>
      </c>
      <c r="E293" s="54"/>
      <c r="F293" s="16">
        <v>80.132450331125824</v>
      </c>
      <c r="G293" s="8">
        <v>7.9470198675496695</v>
      </c>
      <c r="H293" s="8">
        <v>0</v>
      </c>
      <c r="I293" s="8">
        <v>0</v>
      </c>
      <c r="J293" s="8">
        <v>5.298013245033113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17">
        <v>0</v>
      </c>
      <c r="T293" s="8">
        <v>6.6225165562913908</v>
      </c>
      <c r="U293" s="8">
        <v>0</v>
      </c>
      <c r="V293" s="8">
        <v>0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  <c r="AB293" s="8">
        <v>0</v>
      </c>
      <c r="AC293" s="8">
        <v>0</v>
      </c>
      <c r="AD293" s="14">
        <f t="shared" si="26"/>
        <v>100</v>
      </c>
      <c r="AE293" s="8">
        <v>0</v>
      </c>
      <c r="AF293" s="8">
        <v>0</v>
      </c>
      <c r="AG293" s="8">
        <v>0</v>
      </c>
      <c r="AH293" s="8">
        <v>0</v>
      </c>
      <c r="AI293" s="39" t="s">
        <v>1531</v>
      </c>
      <c r="AJ293" s="7"/>
      <c r="AK293" s="62">
        <v>1323</v>
      </c>
      <c r="AL293" s="158"/>
      <c r="AM293" s="85">
        <v>14.4</v>
      </c>
      <c r="AN293" s="85"/>
      <c r="AO293" s="85"/>
      <c r="AP293" s="85"/>
      <c r="AQ293" s="85"/>
      <c r="AR293" s="85"/>
      <c r="AS293" s="85"/>
      <c r="AT293" s="205"/>
      <c r="AU293" s="85">
        <v>1</v>
      </c>
      <c r="AV293" s="196">
        <f t="shared" si="27"/>
        <v>14.4</v>
      </c>
      <c r="AW293" s="85"/>
      <c r="AX293" s="85"/>
      <c r="AY293" s="39"/>
      <c r="AZ293" s="7"/>
      <c r="BA293" s="62"/>
      <c r="BB293" s="7">
        <v>2</v>
      </c>
      <c r="BC293" s="7">
        <v>7.9</v>
      </c>
      <c r="BD293" s="7">
        <v>277.5</v>
      </c>
      <c r="BE293" s="7">
        <v>22</v>
      </c>
      <c r="BF293" s="39">
        <v>1.5</v>
      </c>
      <c r="BG293" s="7">
        <v>2.1</v>
      </c>
      <c r="BH293" s="62">
        <v>279</v>
      </c>
      <c r="BI293" s="7">
        <v>7.36</v>
      </c>
      <c r="BJ293" s="32"/>
      <c r="BK293" s="256"/>
    </row>
    <row r="294" spans="1:63" ht="23.25" customHeight="1" thickBot="1" x14ac:dyDescent="0.25">
      <c r="A294" s="62">
        <v>293</v>
      </c>
      <c r="B294" s="221"/>
      <c r="C294" s="221"/>
      <c r="D294" s="54" t="s">
        <v>91</v>
      </c>
      <c r="E294" s="54"/>
      <c r="F294" s="16">
        <v>81.481481481481481</v>
      </c>
      <c r="G294" s="8">
        <v>7.4074074074074066</v>
      </c>
      <c r="H294" s="8">
        <v>0</v>
      </c>
      <c r="I294" s="8">
        <v>0</v>
      </c>
      <c r="J294" s="8">
        <v>4.9382716049382722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17">
        <v>0</v>
      </c>
      <c r="T294" s="8">
        <v>6.1728395061728403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8">
        <v>0</v>
      </c>
      <c r="AD294" s="14">
        <f t="shared" si="26"/>
        <v>100</v>
      </c>
      <c r="AE294" s="8">
        <v>0</v>
      </c>
      <c r="AF294" s="8">
        <v>0</v>
      </c>
      <c r="AG294" s="8">
        <v>0</v>
      </c>
      <c r="AH294" s="8">
        <v>0</v>
      </c>
      <c r="AI294" s="39" t="s">
        <v>1531</v>
      </c>
      <c r="AJ294" s="7"/>
      <c r="AK294" s="62">
        <v>1323</v>
      </c>
      <c r="AL294" s="158"/>
      <c r="AM294" s="85">
        <v>20.8</v>
      </c>
      <c r="AN294" s="85"/>
      <c r="AO294" s="85"/>
      <c r="AP294" s="85"/>
      <c r="AQ294" s="85"/>
      <c r="AR294" s="85"/>
      <c r="AS294" s="85"/>
      <c r="AT294" s="205"/>
      <c r="AU294" s="85">
        <v>1</v>
      </c>
      <c r="AV294" s="196">
        <f t="shared" si="27"/>
        <v>20.8</v>
      </c>
      <c r="AW294" s="85"/>
      <c r="AX294" s="85"/>
      <c r="AY294" s="39"/>
      <c r="AZ294" s="7"/>
      <c r="BA294" s="62"/>
      <c r="BB294" s="7">
        <v>2</v>
      </c>
      <c r="BC294" s="7">
        <v>7.6</v>
      </c>
      <c r="BD294" s="7">
        <v>271.60000000000002</v>
      </c>
      <c r="BE294" s="7">
        <v>22.15</v>
      </c>
      <c r="BF294" s="39">
        <v>1.5</v>
      </c>
      <c r="BG294" s="7">
        <v>2</v>
      </c>
      <c r="BH294" s="62">
        <v>275</v>
      </c>
      <c r="BI294" s="7">
        <v>7.39</v>
      </c>
      <c r="BJ294" s="32"/>
      <c r="BK294" s="256"/>
    </row>
    <row r="295" spans="1:63" ht="23.25" customHeight="1" thickBot="1" x14ac:dyDescent="0.25">
      <c r="A295" s="7">
        <v>294</v>
      </c>
      <c r="B295" s="221"/>
      <c r="C295" s="221"/>
      <c r="D295" s="54" t="s">
        <v>92</v>
      </c>
      <c r="E295" s="54"/>
      <c r="F295" s="16">
        <v>82.658959537572258</v>
      </c>
      <c r="G295" s="8">
        <v>6.9364161849710975</v>
      </c>
      <c r="H295" s="8">
        <v>0</v>
      </c>
      <c r="I295" s="8">
        <v>0</v>
      </c>
      <c r="J295" s="8">
        <v>4.6242774566473983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17">
        <v>0</v>
      </c>
      <c r="T295" s="8">
        <v>5.7803468208092488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14">
        <f t="shared" si="26"/>
        <v>99.999999999999986</v>
      </c>
      <c r="AE295" s="8">
        <v>0</v>
      </c>
      <c r="AF295" s="8">
        <v>0</v>
      </c>
      <c r="AG295" s="8">
        <v>0</v>
      </c>
      <c r="AH295" s="8">
        <v>0</v>
      </c>
      <c r="AI295" s="39" t="s">
        <v>1531</v>
      </c>
      <c r="AJ295" s="7"/>
      <c r="AK295" s="62">
        <v>1323</v>
      </c>
      <c r="AL295" s="158"/>
      <c r="AM295" s="85">
        <v>31.5</v>
      </c>
      <c r="AN295" s="85"/>
      <c r="AO295" s="85"/>
      <c r="AP295" s="85"/>
      <c r="AQ295" s="85"/>
      <c r="AR295" s="85"/>
      <c r="AS295" s="85"/>
      <c r="AT295" s="205"/>
      <c r="AU295" s="85">
        <v>1</v>
      </c>
      <c r="AV295" s="196">
        <f t="shared" si="27"/>
        <v>31.5</v>
      </c>
      <c r="AW295" s="85"/>
      <c r="AX295" s="85"/>
      <c r="AY295" s="39"/>
      <c r="AZ295" s="7"/>
      <c r="BA295" s="62"/>
      <c r="BB295" s="7">
        <v>2</v>
      </c>
      <c r="BC295" s="7">
        <v>6.7</v>
      </c>
      <c r="BD295" s="7">
        <v>268.5</v>
      </c>
      <c r="BE295" s="7">
        <v>22.35</v>
      </c>
      <c r="BF295" s="39">
        <v>1.5</v>
      </c>
      <c r="BG295" s="7">
        <v>2</v>
      </c>
      <c r="BH295" s="62">
        <v>271</v>
      </c>
      <c r="BI295" s="7">
        <v>7.44</v>
      </c>
      <c r="BJ295" s="32"/>
      <c r="BK295" s="256"/>
    </row>
    <row r="296" spans="1:63" s="19" customFormat="1" ht="23.25" customHeight="1" thickBot="1" x14ac:dyDescent="0.25">
      <c r="A296" s="62">
        <v>295</v>
      </c>
      <c r="B296" s="70">
        <v>104</v>
      </c>
      <c r="C296" s="70" t="s">
        <v>1551</v>
      </c>
      <c r="D296" s="21" t="s">
        <v>204</v>
      </c>
      <c r="E296" s="21"/>
      <c r="F296" s="99">
        <v>81.714285714285708</v>
      </c>
      <c r="G296" s="100">
        <v>0</v>
      </c>
      <c r="H296" s="100">
        <v>11.142857142857142</v>
      </c>
      <c r="I296" s="100">
        <v>0</v>
      </c>
      <c r="J296" s="100">
        <v>0</v>
      </c>
      <c r="K296" s="100">
        <v>0</v>
      </c>
      <c r="L296" s="100">
        <v>0</v>
      </c>
      <c r="M296" s="100">
        <v>0</v>
      </c>
      <c r="N296" s="100">
        <v>0</v>
      </c>
      <c r="O296" s="100">
        <v>0</v>
      </c>
      <c r="P296" s="100">
        <v>0</v>
      </c>
      <c r="Q296" s="100">
        <v>0</v>
      </c>
      <c r="R296" s="100">
        <v>0</v>
      </c>
      <c r="S296" s="101">
        <v>0</v>
      </c>
      <c r="T296" s="100">
        <v>7.1428571428571423</v>
      </c>
      <c r="U296" s="100">
        <v>0</v>
      </c>
      <c r="V296" s="100">
        <v>0</v>
      </c>
      <c r="W296" s="100">
        <v>0</v>
      </c>
      <c r="X296" s="100">
        <v>0</v>
      </c>
      <c r="Y296" s="100">
        <v>0</v>
      </c>
      <c r="Z296" s="100">
        <v>0</v>
      </c>
      <c r="AA296" s="100">
        <v>0</v>
      </c>
      <c r="AB296" s="100">
        <v>0</v>
      </c>
      <c r="AC296" s="100">
        <v>0</v>
      </c>
      <c r="AD296" s="102">
        <f t="shared" si="26"/>
        <v>99.999999999999986</v>
      </c>
      <c r="AE296" s="100">
        <v>0</v>
      </c>
      <c r="AF296" s="100">
        <v>0</v>
      </c>
      <c r="AG296" s="100">
        <v>0</v>
      </c>
      <c r="AH296" s="100">
        <v>0</v>
      </c>
      <c r="AI296" s="120" t="s">
        <v>1531</v>
      </c>
      <c r="AJ296" s="98">
        <v>720</v>
      </c>
      <c r="AK296" s="105">
        <v>1273</v>
      </c>
      <c r="AL296" s="206"/>
      <c r="AM296" s="194">
        <v>6</v>
      </c>
      <c r="AN296" s="194"/>
      <c r="AO296" s="194"/>
      <c r="AP296" s="194"/>
      <c r="AQ296" s="194"/>
      <c r="AR296" s="194"/>
      <c r="AS296" s="194"/>
      <c r="AT296" s="207"/>
      <c r="AU296" s="194">
        <v>0</v>
      </c>
      <c r="AV296" s="208">
        <f t="shared" si="27"/>
        <v>6</v>
      </c>
      <c r="AW296" s="194"/>
      <c r="AX296" s="194"/>
      <c r="AY296" s="120">
        <v>0.01</v>
      </c>
      <c r="AZ296" s="194">
        <v>127</v>
      </c>
      <c r="BA296" s="105"/>
      <c r="BB296" s="98" t="s">
        <v>745</v>
      </c>
      <c r="BC296" s="98" t="s">
        <v>760</v>
      </c>
      <c r="BD296" s="98" t="s">
        <v>761</v>
      </c>
      <c r="BE296" s="98" t="s">
        <v>762</v>
      </c>
      <c r="BF296" s="120"/>
      <c r="BG296" s="98"/>
      <c r="BH296" s="105"/>
      <c r="BI296" s="98"/>
      <c r="BJ296" s="70"/>
      <c r="BK296" s="21"/>
    </row>
    <row r="297" spans="1:63" ht="23.25" customHeight="1" thickBot="1" x14ac:dyDescent="0.25">
      <c r="A297" s="7">
        <v>296</v>
      </c>
      <c r="B297" s="221">
        <v>105</v>
      </c>
      <c r="C297" s="221" t="s">
        <v>1550</v>
      </c>
      <c r="D297" s="54" t="s">
        <v>0</v>
      </c>
      <c r="E297" s="54"/>
      <c r="F297" s="16">
        <v>81.428571428571431</v>
      </c>
      <c r="G297" s="8">
        <v>11.428571428571429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17">
        <v>0</v>
      </c>
      <c r="T297" s="8">
        <v>7.1428571428571423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0</v>
      </c>
      <c r="AB297" s="8">
        <v>0</v>
      </c>
      <c r="AC297" s="8">
        <v>0</v>
      </c>
      <c r="AD297" s="14">
        <f t="shared" si="26"/>
        <v>100</v>
      </c>
      <c r="AE297" s="8">
        <v>0</v>
      </c>
      <c r="AF297" s="8">
        <v>0</v>
      </c>
      <c r="AG297" s="8">
        <v>0</v>
      </c>
      <c r="AH297" s="8">
        <v>0</v>
      </c>
      <c r="AI297" s="39" t="s">
        <v>1531</v>
      </c>
      <c r="AJ297" s="7">
        <v>240</v>
      </c>
      <c r="AK297" s="62">
        <v>1273</v>
      </c>
      <c r="AL297" s="158">
        <v>70</v>
      </c>
      <c r="AM297" s="85"/>
      <c r="AN297" s="85"/>
      <c r="AO297" s="85"/>
      <c r="AP297" s="85"/>
      <c r="AQ297" s="85"/>
      <c r="AR297" s="85"/>
      <c r="AS297" s="85"/>
      <c r="AT297" s="205"/>
      <c r="AU297" s="85"/>
      <c r="AV297" s="196">
        <f t="shared" si="27"/>
        <v>70</v>
      </c>
      <c r="AW297" s="85">
        <v>11.52</v>
      </c>
      <c r="AX297" s="85"/>
      <c r="AY297" s="39">
        <v>0.1</v>
      </c>
      <c r="AZ297" s="7">
        <v>211</v>
      </c>
      <c r="BA297" s="62"/>
      <c r="BB297" s="7">
        <v>5</v>
      </c>
      <c r="BC297" s="7">
        <v>15</v>
      </c>
      <c r="BD297" s="7">
        <v>213.5</v>
      </c>
      <c r="BE297" s="7">
        <v>25.3</v>
      </c>
      <c r="BF297" s="39"/>
      <c r="BG297" s="7"/>
      <c r="BH297" s="62"/>
      <c r="BI297" s="7"/>
      <c r="BJ297" s="32"/>
      <c r="BK297" s="256"/>
    </row>
    <row r="298" spans="1:63" ht="23.25" customHeight="1" thickBot="1" x14ac:dyDescent="0.25">
      <c r="A298" s="62">
        <v>297</v>
      </c>
      <c r="B298" s="221"/>
      <c r="C298" s="221"/>
      <c r="D298" s="223" t="s">
        <v>93</v>
      </c>
      <c r="E298" s="54" t="s">
        <v>359</v>
      </c>
      <c r="F298" s="16">
        <v>80.614285714285714</v>
      </c>
      <c r="G298" s="8">
        <v>11.428571428571429</v>
      </c>
      <c r="H298" s="8">
        <v>0</v>
      </c>
      <c r="I298" s="8">
        <v>0</v>
      </c>
      <c r="J298" s="8">
        <v>0</v>
      </c>
      <c r="K298" s="8">
        <v>0.81428571428571428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17">
        <v>0</v>
      </c>
      <c r="T298" s="8">
        <v>7.1428571428571423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>
        <v>0</v>
      </c>
      <c r="AC298" s="8">
        <v>0</v>
      </c>
      <c r="AD298" s="14">
        <f t="shared" si="26"/>
        <v>100</v>
      </c>
      <c r="AE298" s="8">
        <v>0</v>
      </c>
      <c r="AF298" s="8">
        <v>0</v>
      </c>
      <c r="AG298" s="8">
        <v>0</v>
      </c>
      <c r="AH298" s="8">
        <v>0</v>
      </c>
      <c r="AI298" s="39" t="s">
        <v>1531</v>
      </c>
      <c r="AJ298" s="7">
        <v>240</v>
      </c>
      <c r="AK298" s="62">
        <v>1273</v>
      </c>
      <c r="AL298" s="158">
        <v>60</v>
      </c>
      <c r="AM298" s="85"/>
      <c r="AN298" s="85"/>
      <c r="AO298" s="85"/>
      <c r="AP298" s="85"/>
      <c r="AQ298" s="85"/>
      <c r="AR298" s="85"/>
      <c r="AS298" s="85"/>
      <c r="AT298" s="205"/>
      <c r="AU298" s="85"/>
      <c r="AV298" s="196">
        <f t="shared" si="27"/>
        <v>60</v>
      </c>
      <c r="AW298" s="85">
        <v>11.47</v>
      </c>
      <c r="AX298" s="85"/>
      <c r="AY298" s="39">
        <v>0.1</v>
      </c>
      <c r="AZ298" s="7">
        <v>223</v>
      </c>
      <c r="BA298" s="62"/>
      <c r="BB298" s="7" t="s">
        <v>1238</v>
      </c>
      <c r="BC298" s="85" t="s">
        <v>1748</v>
      </c>
      <c r="BD298" s="7" t="s">
        <v>1749</v>
      </c>
      <c r="BE298" s="7" t="s">
        <v>1750</v>
      </c>
      <c r="BF298" s="39"/>
      <c r="BG298" s="7"/>
      <c r="BH298" s="62"/>
      <c r="BI298" s="7"/>
      <c r="BJ298" s="32"/>
      <c r="BK298" s="256"/>
    </row>
    <row r="299" spans="1:63" ht="23.25" customHeight="1" thickBot="1" x14ac:dyDescent="0.25">
      <c r="A299" s="7">
        <v>298</v>
      </c>
      <c r="B299" s="221"/>
      <c r="C299" s="221"/>
      <c r="D299" s="223"/>
      <c r="E299" s="54" t="s">
        <v>360</v>
      </c>
      <c r="F299" s="16">
        <v>80.614285714285714</v>
      </c>
      <c r="G299" s="8">
        <v>11.428571428571429</v>
      </c>
      <c r="H299" s="8">
        <v>0</v>
      </c>
      <c r="I299" s="8">
        <v>0</v>
      </c>
      <c r="J299" s="8">
        <v>0</v>
      </c>
      <c r="K299" s="8">
        <v>0</v>
      </c>
      <c r="L299" s="8">
        <v>0.81428571428571428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17">
        <v>0</v>
      </c>
      <c r="T299" s="8">
        <v>7.1428571428571423</v>
      </c>
      <c r="U299" s="8">
        <v>0</v>
      </c>
      <c r="V299" s="8">
        <v>0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  <c r="AD299" s="14">
        <f t="shared" si="26"/>
        <v>100</v>
      </c>
      <c r="AE299" s="8">
        <v>0</v>
      </c>
      <c r="AF299" s="8">
        <v>0</v>
      </c>
      <c r="AG299" s="8">
        <v>0</v>
      </c>
      <c r="AH299" s="8">
        <v>0</v>
      </c>
      <c r="AI299" s="39" t="s">
        <v>1531</v>
      </c>
      <c r="AJ299" s="7">
        <v>240</v>
      </c>
      <c r="AK299" s="62">
        <v>1273</v>
      </c>
      <c r="AL299" s="158">
        <v>68</v>
      </c>
      <c r="AM299" s="85"/>
      <c r="AN299" s="85"/>
      <c r="AO299" s="85"/>
      <c r="AP299" s="85"/>
      <c r="AQ299" s="85"/>
      <c r="AR299" s="85"/>
      <c r="AS299" s="85"/>
      <c r="AT299" s="205"/>
      <c r="AU299" s="85"/>
      <c r="AV299" s="196">
        <f t="shared" si="27"/>
        <v>68</v>
      </c>
      <c r="AW299" s="85">
        <v>11.54</v>
      </c>
      <c r="AX299" s="85"/>
      <c r="AY299" s="39">
        <v>0.1</v>
      </c>
      <c r="AZ299" s="7">
        <v>212</v>
      </c>
      <c r="BA299" s="62"/>
      <c r="BB299" s="7">
        <v>5</v>
      </c>
      <c r="BC299" s="7">
        <v>10</v>
      </c>
      <c r="BD299" s="7">
        <v>214</v>
      </c>
      <c r="BE299" s="7">
        <v>28.8</v>
      </c>
      <c r="BF299" s="39"/>
      <c r="BG299" s="7"/>
      <c r="BH299" s="62"/>
      <c r="BI299" s="7"/>
      <c r="BJ299" s="32"/>
      <c r="BK299" s="256"/>
    </row>
    <row r="300" spans="1:63" ht="23.25" customHeight="1" thickBot="1" x14ac:dyDescent="0.25">
      <c r="A300" s="62">
        <v>299</v>
      </c>
      <c r="B300" s="221"/>
      <c r="C300" s="221"/>
      <c r="D300" s="223"/>
      <c r="E300" s="54" t="s">
        <v>362</v>
      </c>
      <c r="F300" s="16">
        <v>80.614285714285714</v>
      </c>
      <c r="G300" s="8">
        <v>11.428571428571429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0.81428571428571428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17">
        <v>0</v>
      </c>
      <c r="T300" s="8">
        <v>7.1428571428571423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14">
        <f t="shared" si="26"/>
        <v>100</v>
      </c>
      <c r="AE300" s="8">
        <v>0</v>
      </c>
      <c r="AF300" s="8">
        <v>0</v>
      </c>
      <c r="AG300" s="8">
        <v>0</v>
      </c>
      <c r="AH300" s="8">
        <v>0</v>
      </c>
      <c r="AI300" s="39" t="s">
        <v>1531</v>
      </c>
      <c r="AJ300" s="7">
        <v>240</v>
      </c>
      <c r="AK300" s="62">
        <v>1273</v>
      </c>
      <c r="AL300" s="158">
        <v>63</v>
      </c>
      <c r="AM300" s="85"/>
      <c r="AN300" s="85"/>
      <c r="AO300" s="85"/>
      <c r="AP300" s="85"/>
      <c r="AQ300" s="85"/>
      <c r="AR300" s="85"/>
      <c r="AS300" s="85"/>
      <c r="AT300" s="205"/>
      <c r="AU300" s="85"/>
      <c r="AV300" s="196">
        <f t="shared" si="27"/>
        <v>63</v>
      </c>
      <c r="AW300" s="85">
        <v>11.48</v>
      </c>
      <c r="AX300" s="85"/>
      <c r="AY300" s="39">
        <v>0.1</v>
      </c>
      <c r="AZ300" s="7">
        <v>217</v>
      </c>
      <c r="BA300" s="62"/>
      <c r="BB300" s="7">
        <v>5</v>
      </c>
      <c r="BC300" s="7">
        <v>12</v>
      </c>
      <c r="BD300" s="7">
        <v>217.7</v>
      </c>
      <c r="BE300" s="7">
        <v>31.7</v>
      </c>
      <c r="BF300" s="39"/>
      <c r="BG300" s="7"/>
      <c r="BH300" s="62"/>
      <c r="BI300" s="7"/>
      <c r="BJ300" s="32"/>
      <c r="BK300" s="256"/>
    </row>
    <row r="301" spans="1:63" ht="23.25" customHeight="1" thickBot="1" x14ac:dyDescent="0.25">
      <c r="A301" s="7">
        <v>300</v>
      </c>
      <c r="B301" s="221"/>
      <c r="C301" s="221"/>
      <c r="D301" s="224"/>
      <c r="E301" s="54" t="s">
        <v>361</v>
      </c>
      <c r="F301" s="16">
        <v>80.614285714285714</v>
      </c>
      <c r="G301" s="8">
        <v>11.428571428571429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0.81428571428571428</v>
      </c>
      <c r="O301" s="8">
        <v>0</v>
      </c>
      <c r="P301" s="8">
        <v>0</v>
      </c>
      <c r="Q301" s="8">
        <v>0</v>
      </c>
      <c r="R301" s="8">
        <v>0</v>
      </c>
      <c r="S301" s="17">
        <v>0</v>
      </c>
      <c r="T301" s="8">
        <v>7.1428571428571423</v>
      </c>
      <c r="U301" s="8">
        <v>0</v>
      </c>
      <c r="V301" s="8">
        <v>0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  <c r="AD301" s="14">
        <f t="shared" si="26"/>
        <v>100</v>
      </c>
      <c r="AE301" s="8">
        <v>0</v>
      </c>
      <c r="AF301" s="8">
        <v>0</v>
      </c>
      <c r="AG301" s="8">
        <v>0</v>
      </c>
      <c r="AH301" s="8">
        <v>0</v>
      </c>
      <c r="AI301" s="39" t="s">
        <v>1531</v>
      </c>
      <c r="AJ301" s="7">
        <v>240</v>
      </c>
      <c r="AK301" s="62">
        <v>1273</v>
      </c>
      <c r="AL301" s="158">
        <v>62</v>
      </c>
      <c r="AM301" s="85"/>
      <c r="AN301" s="85"/>
      <c r="AO301" s="85"/>
      <c r="AP301" s="85"/>
      <c r="AQ301" s="85"/>
      <c r="AR301" s="85"/>
      <c r="AS301" s="85"/>
      <c r="AT301" s="205"/>
      <c r="AU301" s="85"/>
      <c r="AV301" s="196">
        <f t="shared" si="27"/>
        <v>62</v>
      </c>
      <c r="AW301" s="85">
        <v>11.49</v>
      </c>
      <c r="AX301" s="85"/>
      <c r="AY301" s="39">
        <v>0.1</v>
      </c>
      <c r="AZ301" s="7">
        <v>221</v>
      </c>
      <c r="BA301" s="62"/>
      <c r="BB301" s="7">
        <v>5</v>
      </c>
      <c r="BC301" s="7">
        <v>10</v>
      </c>
      <c r="BD301" s="7">
        <v>222.5</v>
      </c>
      <c r="BE301" s="7">
        <v>35.200000000000003</v>
      </c>
      <c r="BF301" s="39"/>
      <c r="BG301" s="7"/>
      <c r="BH301" s="62"/>
      <c r="BI301" s="7"/>
      <c r="BJ301" s="32"/>
      <c r="BK301" s="256"/>
    </row>
    <row r="302" spans="1:63" s="4" customFormat="1" ht="23.25" customHeight="1" thickBot="1" x14ac:dyDescent="0.25">
      <c r="A302" s="62">
        <v>301</v>
      </c>
      <c r="B302" s="238">
        <v>110</v>
      </c>
      <c r="C302" s="238" t="s">
        <v>1549</v>
      </c>
      <c r="D302" s="12" t="s">
        <v>94</v>
      </c>
      <c r="E302" s="12"/>
      <c r="F302" s="87">
        <v>82.142857142857139</v>
      </c>
      <c r="G302" s="88">
        <v>10.714285714285714</v>
      </c>
      <c r="H302" s="88">
        <v>0</v>
      </c>
      <c r="I302" s="88">
        <v>0</v>
      </c>
      <c r="J302" s="88">
        <v>0</v>
      </c>
      <c r="K302" s="88">
        <v>0</v>
      </c>
      <c r="L302" s="88">
        <v>0</v>
      </c>
      <c r="M302" s="88">
        <v>0</v>
      </c>
      <c r="N302" s="88">
        <v>0</v>
      </c>
      <c r="O302" s="88">
        <v>0</v>
      </c>
      <c r="P302" s="88">
        <v>0</v>
      </c>
      <c r="Q302" s="88">
        <v>0</v>
      </c>
      <c r="R302" s="88">
        <v>0</v>
      </c>
      <c r="S302" s="89">
        <v>0</v>
      </c>
      <c r="T302" s="88">
        <v>5</v>
      </c>
      <c r="U302" s="88">
        <v>0</v>
      </c>
      <c r="V302" s="88">
        <v>0</v>
      </c>
      <c r="W302" s="88">
        <v>2.1428571428571428</v>
      </c>
      <c r="X302" s="88">
        <v>0</v>
      </c>
      <c r="Y302" s="88">
        <v>0</v>
      </c>
      <c r="Z302" s="88">
        <v>0</v>
      </c>
      <c r="AA302" s="88">
        <v>0</v>
      </c>
      <c r="AB302" s="88">
        <v>0</v>
      </c>
      <c r="AC302" s="88">
        <v>0</v>
      </c>
      <c r="AD302" s="90">
        <f t="shared" si="26"/>
        <v>99.999999999999986</v>
      </c>
      <c r="AE302" s="88">
        <v>0</v>
      </c>
      <c r="AF302" s="88">
        <v>0</v>
      </c>
      <c r="AG302" s="88">
        <v>0</v>
      </c>
      <c r="AH302" s="88">
        <v>0</v>
      </c>
      <c r="AI302" s="156" t="s">
        <v>1531</v>
      </c>
      <c r="AJ302" s="45">
        <v>336</v>
      </c>
      <c r="AK302" s="91">
        <v>1223</v>
      </c>
      <c r="AL302" s="197"/>
      <c r="AM302" s="189"/>
      <c r="AN302" s="189"/>
      <c r="AO302" s="189"/>
      <c r="AP302" s="189"/>
      <c r="AQ302" s="189"/>
      <c r="AR302" s="189"/>
      <c r="AS302" s="189"/>
      <c r="AT302" s="198"/>
      <c r="AU302" s="189"/>
      <c r="AV302" s="199"/>
      <c r="AW302" s="189"/>
      <c r="AX302" s="189"/>
      <c r="AY302" s="156">
        <v>0.01</v>
      </c>
      <c r="AZ302" s="45">
        <v>189</v>
      </c>
      <c r="BA302" s="91">
        <v>4</v>
      </c>
      <c r="BB302" s="45"/>
      <c r="BC302" s="45"/>
      <c r="BD302" s="45"/>
      <c r="BE302" s="45"/>
      <c r="BF302" s="156"/>
      <c r="BG302" s="45"/>
      <c r="BH302" s="91"/>
      <c r="BI302" s="45"/>
      <c r="BJ302" s="67"/>
      <c r="BK302" s="256" t="s">
        <v>8</v>
      </c>
    </row>
    <row r="303" spans="1:63" ht="23.25" customHeight="1" thickBot="1" x14ac:dyDescent="0.25">
      <c r="A303" s="7">
        <v>302</v>
      </c>
      <c r="B303" s="221"/>
      <c r="C303" s="221"/>
      <c r="D303" s="223" t="s">
        <v>95</v>
      </c>
      <c r="E303" s="54" t="s">
        <v>241</v>
      </c>
      <c r="F303" s="16">
        <v>82.142857142857139</v>
      </c>
      <c r="G303" s="8">
        <v>10.714285714285714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17">
        <v>0</v>
      </c>
      <c r="T303" s="8">
        <v>5</v>
      </c>
      <c r="U303" s="8">
        <v>0</v>
      </c>
      <c r="V303" s="8">
        <v>0</v>
      </c>
      <c r="W303" s="8">
        <v>2.1428571428571428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  <c r="AD303" s="14">
        <f t="shared" si="26"/>
        <v>99.999999999999986</v>
      </c>
      <c r="AE303" s="8">
        <v>0</v>
      </c>
      <c r="AF303" s="8">
        <f>0.2/14*100</f>
        <v>1.4285714285714286</v>
      </c>
      <c r="AG303" s="8">
        <v>0</v>
      </c>
      <c r="AH303" s="8">
        <v>0</v>
      </c>
      <c r="AI303" s="39" t="s">
        <v>1531</v>
      </c>
      <c r="AJ303" s="7">
        <v>336</v>
      </c>
      <c r="AK303" s="62">
        <v>1223</v>
      </c>
      <c r="AL303" s="158"/>
      <c r="AM303" s="85"/>
      <c r="AN303" s="85"/>
      <c r="AO303" s="85"/>
      <c r="AP303" s="85"/>
      <c r="AQ303" s="85"/>
      <c r="AR303" s="85"/>
      <c r="AS303" s="85"/>
      <c r="AT303" s="205"/>
      <c r="AU303" s="85"/>
      <c r="AV303" s="196"/>
      <c r="AW303" s="85"/>
      <c r="AX303" s="85"/>
      <c r="AY303" s="39">
        <v>0.01</v>
      </c>
      <c r="AZ303" s="7">
        <v>210</v>
      </c>
      <c r="BA303" s="62">
        <v>0.5</v>
      </c>
      <c r="BB303" s="7" t="s">
        <v>523</v>
      </c>
      <c r="BC303" s="7" t="s">
        <v>751</v>
      </c>
      <c r="BD303" s="7" t="s">
        <v>757</v>
      </c>
      <c r="BE303" s="7" t="s">
        <v>754</v>
      </c>
      <c r="BF303" s="39"/>
      <c r="BG303" s="7"/>
      <c r="BH303" s="62"/>
      <c r="BI303" s="7"/>
      <c r="BJ303" s="32"/>
      <c r="BK303" s="256"/>
    </row>
    <row r="304" spans="1:63" ht="23.25" customHeight="1" thickBot="1" x14ac:dyDescent="0.25">
      <c r="A304" s="62">
        <v>303</v>
      </c>
      <c r="B304" s="221"/>
      <c r="C304" s="221"/>
      <c r="D304" s="223"/>
      <c r="E304" s="54" t="s">
        <v>245</v>
      </c>
      <c r="F304" s="16">
        <v>82.142857142857139</v>
      </c>
      <c r="G304" s="8">
        <v>10.714285714285714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17">
        <v>0</v>
      </c>
      <c r="T304" s="8">
        <v>5</v>
      </c>
      <c r="U304" s="8">
        <v>0</v>
      </c>
      <c r="V304" s="8">
        <v>0</v>
      </c>
      <c r="W304" s="8">
        <v>2.1428571428571428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0</v>
      </c>
      <c r="AD304" s="14">
        <f t="shared" si="26"/>
        <v>99.999999999999986</v>
      </c>
      <c r="AE304" s="8">
        <f>0.6/14*100</f>
        <v>4.2857142857142856</v>
      </c>
      <c r="AF304" s="8">
        <f>0.2/14*100</f>
        <v>1.4285714285714286</v>
      </c>
      <c r="AG304" s="8">
        <v>0</v>
      </c>
      <c r="AH304" s="8">
        <v>0</v>
      </c>
      <c r="AI304" s="39" t="s">
        <v>1531</v>
      </c>
      <c r="AJ304" s="7">
        <v>336</v>
      </c>
      <c r="AK304" s="62">
        <v>1223</v>
      </c>
      <c r="AL304" s="158"/>
      <c r="AM304" s="85"/>
      <c r="AN304" s="85"/>
      <c r="AO304" s="85"/>
      <c r="AP304" s="85"/>
      <c r="AQ304" s="85"/>
      <c r="AR304" s="85"/>
      <c r="AS304" s="85"/>
      <c r="AT304" s="205"/>
      <c r="AU304" s="85"/>
      <c r="AV304" s="196"/>
      <c r="AW304" s="85"/>
      <c r="AX304" s="85"/>
      <c r="AY304" s="39">
        <v>0.01</v>
      </c>
      <c r="AZ304" s="7">
        <v>271</v>
      </c>
      <c r="BA304" s="62">
        <v>0</v>
      </c>
      <c r="BB304" s="7" t="s">
        <v>523</v>
      </c>
      <c r="BC304" s="7" t="s">
        <v>752</v>
      </c>
      <c r="BD304" s="7" t="s">
        <v>758</v>
      </c>
      <c r="BE304" s="7" t="s">
        <v>755</v>
      </c>
      <c r="BF304" s="39"/>
      <c r="BG304" s="7"/>
      <c r="BH304" s="62"/>
      <c r="BI304" s="7"/>
      <c r="BJ304" s="32"/>
      <c r="BK304" s="256"/>
    </row>
    <row r="305" spans="1:63" s="6" customFormat="1" ht="23.25" customHeight="1" thickBot="1" x14ac:dyDescent="0.25">
      <c r="A305" s="7">
        <v>304</v>
      </c>
      <c r="B305" s="222"/>
      <c r="C305" s="222"/>
      <c r="D305" s="224"/>
      <c r="E305" s="13" t="s">
        <v>271</v>
      </c>
      <c r="F305" s="80">
        <v>82.142857142857139</v>
      </c>
      <c r="G305" s="81">
        <v>10.714285714285714</v>
      </c>
      <c r="H305" s="81">
        <v>0</v>
      </c>
      <c r="I305" s="81">
        <v>0</v>
      </c>
      <c r="J305" s="81">
        <v>0</v>
      </c>
      <c r="K305" s="81">
        <v>0</v>
      </c>
      <c r="L305" s="81">
        <v>0</v>
      </c>
      <c r="M305" s="81">
        <v>0</v>
      </c>
      <c r="N305" s="81">
        <v>0</v>
      </c>
      <c r="O305" s="81">
        <v>0</v>
      </c>
      <c r="P305" s="81">
        <v>0</v>
      </c>
      <c r="Q305" s="81">
        <v>0</v>
      </c>
      <c r="R305" s="81">
        <v>0</v>
      </c>
      <c r="S305" s="82">
        <v>0</v>
      </c>
      <c r="T305" s="81">
        <v>5</v>
      </c>
      <c r="U305" s="81">
        <v>0</v>
      </c>
      <c r="V305" s="81">
        <v>0</v>
      </c>
      <c r="W305" s="81">
        <v>2.1428571428571428</v>
      </c>
      <c r="X305" s="81">
        <v>0</v>
      </c>
      <c r="Y305" s="81">
        <v>0</v>
      </c>
      <c r="Z305" s="81">
        <v>0</v>
      </c>
      <c r="AA305" s="81">
        <v>0</v>
      </c>
      <c r="AB305" s="81">
        <v>0</v>
      </c>
      <c r="AC305" s="81">
        <v>0</v>
      </c>
      <c r="AD305" s="83">
        <f t="shared" si="26"/>
        <v>99.999999999999986</v>
      </c>
      <c r="AE305" s="81">
        <f>1.2/14*100</f>
        <v>8.5714285714285712</v>
      </c>
      <c r="AF305" s="81">
        <f>0.2/14*100</f>
        <v>1.4285714285714286</v>
      </c>
      <c r="AG305" s="81">
        <v>0</v>
      </c>
      <c r="AH305" s="81">
        <v>0</v>
      </c>
      <c r="AI305" s="79" t="s">
        <v>1531</v>
      </c>
      <c r="AJ305" s="65">
        <v>336</v>
      </c>
      <c r="AK305" s="78">
        <v>1223</v>
      </c>
      <c r="AL305" s="200"/>
      <c r="AM305" s="190"/>
      <c r="AN305" s="190"/>
      <c r="AO305" s="190"/>
      <c r="AP305" s="190"/>
      <c r="AQ305" s="190"/>
      <c r="AR305" s="190"/>
      <c r="AS305" s="190"/>
      <c r="AT305" s="201"/>
      <c r="AU305" s="190"/>
      <c r="AV305" s="202"/>
      <c r="AW305" s="190"/>
      <c r="AX305" s="190"/>
      <c r="AY305" s="79">
        <v>0.01</v>
      </c>
      <c r="AZ305" s="65">
        <v>321</v>
      </c>
      <c r="BA305" s="78">
        <v>0</v>
      </c>
      <c r="BB305" s="65" t="s">
        <v>523</v>
      </c>
      <c r="BC305" s="65" t="s">
        <v>753</v>
      </c>
      <c r="BD305" s="65" t="s">
        <v>759</v>
      </c>
      <c r="BE305" s="65" t="s">
        <v>756</v>
      </c>
      <c r="BF305" s="79"/>
      <c r="BG305" s="65"/>
      <c r="BH305" s="78"/>
      <c r="BI305" s="65"/>
      <c r="BJ305" s="68"/>
      <c r="BK305" s="256"/>
    </row>
    <row r="306" spans="1:63" ht="23.25" customHeight="1" thickBot="1" x14ac:dyDescent="0.25">
      <c r="A306" s="62">
        <v>305</v>
      </c>
      <c r="B306" s="221">
        <v>114</v>
      </c>
      <c r="C306" s="221" t="s">
        <v>1548</v>
      </c>
      <c r="D306" s="54" t="s">
        <v>96</v>
      </c>
      <c r="E306" s="54"/>
      <c r="F306" s="16">
        <v>78.571428571428569</v>
      </c>
      <c r="G306" s="8">
        <v>7.8571428571428585</v>
      </c>
      <c r="H306" s="8">
        <v>0</v>
      </c>
      <c r="I306" s="8">
        <v>0</v>
      </c>
      <c r="J306" s="8">
        <v>6.4285714285714297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17">
        <v>0</v>
      </c>
      <c r="T306" s="8">
        <v>7.1428571428571423</v>
      </c>
      <c r="U306" s="8">
        <v>0</v>
      </c>
      <c r="V306" s="8">
        <v>0</v>
      </c>
      <c r="W306" s="8">
        <v>0</v>
      </c>
      <c r="X306" s="8">
        <v>0</v>
      </c>
      <c r="Y306" s="8">
        <v>0</v>
      </c>
      <c r="Z306" s="8">
        <v>0</v>
      </c>
      <c r="AA306" s="8">
        <v>0</v>
      </c>
      <c r="AB306" s="8">
        <v>0</v>
      </c>
      <c r="AC306" s="8">
        <v>0</v>
      </c>
      <c r="AD306" s="14">
        <f t="shared" si="26"/>
        <v>100</v>
      </c>
      <c r="AE306" s="8">
        <v>0</v>
      </c>
      <c r="AF306" s="8">
        <v>0</v>
      </c>
      <c r="AG306" s="8">
        <v>0</v>
      </c>
      <c r="AH306" s="8">
        <v>0</v>
      </c>
      <c r="AI306" s="39" t="s">
        <v>1531</v>
      </c>
      <c r="AJ306" s="7">
        <v>336</v>
      </c>
      <c r="AK306" s="62">
        <v>1323</v>
      </c>
      <c r="AL306" s="158"/>
      <c r="AM306" s="85"/>
      <c r="AN306" s="85"/>
      <c r="AO306" s="85"/>
      <c r="AP306" s="85"/>
      <c r="AQ306" s="85"/>
      <c r="AR306" s="85"/>
      <c r="AS306" s="85"/>
      <c r="AT306" s="205"/>
      <c r="AU306" s="85"/>
      <c r="AV306" s="196"/>
      <c r="AW306" s="85"/>
      <c r="AX306" s="85"/>
      <c r="AY306" s="39"/>
      <c r="AZ306" s="7"/>
      <c r="BA306" s="62"/>
      <c r="BB306" s="7" t="s">
        <v>590</v>
      </c>
      <c r="BC306" s="7" t="s">
        <v>746</v>
      </c>
      <c r="BD306" s="7" t="s">
        <v>748</v>
      </c>
      <c r="BE306" s="7"/>
      <c r="BF306" s="39">
        <v>1.48</v>
      </c>
      <c r="BG306" s="7">
        <v>1.5</v>
      </c>
      <c r="BH306" s="62">
        <v>294</v>
      </c>
      <c r="BI306" s="7"/>
      <c r="BJ306" s="32"/>
      <c r="BK306" s="256" t="s">
        <v>1754</v>
      </c>
    </row>
    <row r="307" spans="1:63" ht="23.25" customHeight="1" thickBot="1" x14ac:dyDescent="0.25">
      <c r="A307" s="7">
        <v>306</v>
      </c>
      <c r="B307" s="221"/>
      <c r="C307" s="221"/>
      <c r="D307" s="54" t="s">
        <v>97</v>
      </c>
      <c r="E307" s="54"/>
      <c r="F307" s="16">
        <v>79.285714285714278</v>
      </c>
      <c r="G307" s="8">
        <v>7.8571428571428585</v>
      </c>
      <c r="H307" s="8">
        <v>0</v>
      </c>
      <c r="I307" s="8">
        <v>0</v>
      </c>
      <c r="J307" s="8">
        <v>5.7142857142857144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17">
        <v>0</v>
      </c>
      <c r="T307" s="8">
        <v>7.1428571428571423</v>
      </c>
      <c r="U307" s="8">
        <v>0</v>
      </c>
      <c r="V307" s="8">
        <v>0</v>
      </c>
      <c r="W307" s="8">
        <v>0</v>
      </c>
      <c r="X307" s="8">
        <v>0</v>
      </c>
      <c r="Y307" s="8">
        <v>0</v>
      </c>
      <c r="Z307" s="8">
        <v>0</v>
      </c>
      <c r="AA307" s="8">
        <v>0</v>
      </c>
      <c r="AB307" s="8">
        <v>0</v>
      </c>
      <c r="AC307" s="8">
        <v>0</v>
      </c>
      <c r="AD307" s="14">
        <f t="shared" si="26"/>
        <v>99.999999999999986</v>
      </c>
      <c r="AE307" s="8">
        <v>0</v>
      </c>
      <c r="AF307" s="8">
        <v>0</v>
      </c>
      <c r="AG307" s="8">
        <v>0</v>
      </c>
      <c r="AH307" s="8">
        <v>0</v>
      </c>
      <c r="AI307" s="39" t="s">
        <v>1531</v>
      </c>
      <c r="AJ307" s="7">
        <v>336</v>
      </c>
      <c r="AK307" s="62">
        <v>1323</v>
      </c>
      <c r="AL307" s="158"/>
      <c r="AM307" s="85"/>
      <c r="AN307" s="85"/>
      <c r="AO307" s="85"/>
      <c r="AP307" s="85"/>
      <c r="AQ307" s="85"/>
      <c r="AR307" s="85"/>
      <c r="AS307" s="85"/>
      <c r="AT307" s="205"/>
      <c r="AU307" s="85"/>
      <c r="AV307" s="196"/>
      <c r="AW307" s="85"/>
      <c r="AX307" s="85"/>
      <c r="AY307" s="39"/>
      <c r="AZ307" s="7"/>
      <c r="BA307" s="62"/>
      <c r="BB307" s="7" t="s">
        <v>590</v>
      </c>
      <c r="BC307" s="7" t="s">
        <v>747</v>
      </c>
      <c r="BD307" s="7" t="s">
        <v>749</v>
      </c>
      <c r="BE307" s="7" t="s">
        <v>750</v>
      </c>
      <c r="BF307" s="39"/>
      <c r="BG307" s="7"/>
      <c r="BH307" s="62"/>
      <c r="BI307" s="7"/>
      <c r="BJ307" s="32"/>
      <c r="BK307" s="256"/>
    </row>
    <row r="308" spans="1:63" s="4" customFormat="1" ht="23.25" customHeight="1" thickBot="1" x14ac:dyDescent="0.25">
      <c r="A308" s="62">
        <v>307</v>
      </c>
      <c r="B308" s="238">
        <v>118</v>
      </c>
      <c r="C308" s="238" t="s">
        <v>1547</v>
      </c>
      <c r="D308" s="12" t="s">
        <v>98</v>
      </c>
      <c r="E308" s="12"/>
      <c r="F308" s="87">
        <v>82.642857142857139</v>
      </c>
      <c r="G308" s="88">
        <v>10.214285714285714</v>
      </c>
      <c r="H308" s="88">
        <v>0</v>
      </c>
      <c r="I308" s="88">
        <v>0</v>
      </c>
      <c r="J308" s="88">
        <v>0</v>
      </c>
      <c r="K308" s="88">
        <v>0</v>
      </c>
      <c r="L308" s="88">
        <v>0</v>
      </c>
      <c r="M308" s="88">
        <v>0</v>
      </c>
      <c r="N308" s="88">
        <v>0</v>
      </c>
      <c r="O308" s="88">
        <v>0</v>
      </c>
      <c r="P308" s="88">
        <v>0</v>
      </c>
      <c r="Q308" s="88">
        <v>0</v>
      </c>
      <c r="R308" s="88">
        <v>0</v>
      </c>
      <c r="S308" s="89">
        <v>0</v>
      </c>
      <c r="T308" s="88">
        <v>7.1428571428571423</v>
      </c>
      <c r="U308" s="88">
        <v>0</v>
      </c>
      <c r="V308" s="88">
        <v>0</v>
      </c>
      <c r="W308" s="88">
        <v>0</v>
      </c>
      <c r="X308" s="88">
        <v>0</v>
      </c>
      <c r="Y308" s="88">
        <v>0</v>
      </c>
      <c r="Z308" s="88">
        <v>0</v>
      </c>
      <c r="AA308" s="88">
        <v>0</v>
      </c>
      <c r="AB308" s="88">
        <v>0</v>
      </c>
      <c r="AC308" s="88">
        <v>0</v>
      </c>
      <c r="AD308" s="90">
        <f t="shared" si="26"/>
        <v>99.999999999999986</v>
      </c>
      <c r="AE308" s="88">
        <v>0</v>
      </c>
      <c r="AF308" s="88">
        <v>0</v>
      </c>
      <c r="AG308" s="88">
        <v>0</v>
      </c>
      <c r="AH308" s="88">
        <v>0</v>
      </c>
      <c r="AI308" s="156" t="s">
        <v>1531</v>
      </c>
      <c r="AJ308" s="45"/>
      <c r="AK308" s="91"/>
      <c r="AL308" s="197"/>
      <c r="AM308" s="189"/>
      <c r="AN308" s="189"/>
      <c r="AO308" s="189"/>
      <c r="AP308" s="189"/>
      <c r="AQ308" s="189"/>
      <c r="AR308" s="189"/>
      <c r="AS308" s="189"/>
      <c r="AT308" s="198"/>
      <c r="AU308" s="189"/>
      <c r="AV308" s="199"/>
      <c r="AW308" s="189"/>
      <c r="AX308" s="189"/>
      <c r="AY308" s="156">
        <v>0.4</v>
      </c>
      <c r="AZ308" s="45">
        <v>188</v>
      </c>
      <c r="BA308" s="91"/>
      <c r="BB308" s="45">
        <v>2</v>
      </c>
      <c r="BC308" s="189">
        <v>24</v>
      </c>
      <c r="BD308" s="45">
        <v>189.4</v>
      </c>
      <c r="BE308" s="45">
        <v>9</v>
      </c>
      <c r="BF308" s="156">
        <v>2</v>
      </c>
      <c r="BG308" s="45">
        <v>7.5</v>
      </c>
      <c r="BH308" s="91">
        <v>189</v>
      </c>
      <c r="BI308" s="45"/>
      <c r="BJ308" s="67"/>
      <c r="BK308" s="256" t="s">
        <v>8</v>
      </c>
    </row>
    <row r="309" spans="1:63" ht="23.25" customHeight="1" thickBot="1" x14ac:dyDescent="0.25">
      <c r="A309" s="7">
        <v>308</v>
      </c>
      <c r="B309" s="221"/>
      <c r="C309" s="221"/>
      <c r="D309" s="54" t="s">
        <v>99</v>
      </c>
      <c r="E309" s="54"/>
      <c r="F309" s="16">
        <v>80.785714285714292</v>
      </c>
      <c r="G309" s="8">
        <v>10.214285714285714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1.8571428571428572</v>
      </c>
      <c r="Q309" s="8">
        <v>0</v>
      </c>
      <c r="R309" s="8">
        <v>0</v>
      </c>
      <c r="S309" s="17">
        <v>0</v>
      </c>
      <c r="T309" s="8">
        <v>7.1428571428571423</v>
      </c>
      <c r="U309" s="8">
        <v>0</v>
      </c>
      <c r="V309" s="8">
        <v>0</v>
      </c>
      <c r="W309" s="8">
        <v>0</v>
      </c>
      <c r="X309" s="8">
        <v>0</v>
      </c>
      <c r="Y309" s="8">
        <v>0</v>
      </c>
      <c r="Z309" s="8">
        <v>0</v>
      </c>
      <c r="AA309" s="8">
        <v>0</v>
      </c>
      <c r="AB309" s="8">
        <v>0</v>
      </c>
      <c r="AC309" s="8">
        <v>0</v>
      </c>
      <c r="AD309" s="14">
        <f t="shared" si="26"/>
        <v>100</v>
      </c>
      <c r="AE309" s="8">
        <v>0</v>
      </c>
      <c r="AF309" s="8">
        <v>0</v>
      </c>
      <c r="AG309" s="8">
        <v>0</v>
      </c>
      <c r="AH309" s="8">
        <v>0</v>
      </c>
      <c r="AI309" s="39" t="s">
        <v>1531</v>
      </c>
      <c r="AJ309" s="7"/>
      <c r="AK309" s="62"/>
      <c r="AL309" s="158"/>
      <c r="AM309" s="85"/>
      <c r="AN309" s="85"/>
      <c r="AO309" s="85"/>
      <c r="AP309" s="85"/>
      <c r="AQ309" s="85"/>
      <c r="AR309" s="85"/>
      <c r="AS309" s="85"/>
      <c r="AT309" s="205"/>
      <c r="AU309" s="85"/>
      <c r="AV309" s="196"/>
      <c r="AW309" s="85"/>
      <c r="AX309" s="85"/>
      <c r="AY309" s="39">
        <v>0.4</v>
      </c>
      <c r="AZ309" s="7">
        <v>150</v>
      </c>
      <c r="BA309" s="62"/>
      <c r="BB309" s="7">
        <v>2</v>
      </c>
      <c r="BC309" s="85">
        <v>16</v>
      </c>
      <c r="BD309" s="7">
        <v>152.19999999999999</v>
      </c>
      <c r="BE309" s="7">
        <v>10.3</v>
      </c>
      <c r="BF309" s="39">
        <v>2</v>
      </c>
      <c r="BG309" s="7">
        <v>5.7</v>
      </c>
      <c r="BH309" s="62">
        <v>149.5</v>
      </c>
      <c r="BI309" s="7"/>
      <c r="BJ309" s="32"/>
      <c r="BK309" s="256"/>
    </row>
    <row r="310" spans="1:63" ht="23.25" customHeight="1" thickBot="1" x14ac:dyDescent="0.25">
      <c r="A310" s="62">
        <v>309</v>
      </c>
      <c r="B310" s="221"/>
      <c r="C310" s="221"/>
      <c r="D310" s="54" t="s">
        <v>100</v>
      </c>
      <c r="E310" s="54"/>
      <c r="F310" s="16">
        <v>80.785714285714292</v>
      </c>
      <c r="G310" s="8">
        <v>10.214285714285714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1.8571428571428572</v>
      </c>
      <c r="Q310" s="8">
        <v>0</v>
      </c>
      <c r="R310" s="8">
        <v>0</v>
      </c>
      <c r="S310" s="17">
        <v>0</v>
      </c>
      <c r="T310" s="8">
        <v>5</v>
      </c>
      <c r="U310" s="8">
        <v>0</v>
      </c>
      <c r="V310" s="8">
        <v>2.1428571428571428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  <c r="AB310" s="8">
        <v>0</v>
      </c>
      <c r="AC310" s="8">
        <v>0</v>
      </c>
      <c r="AD310" s="14">
        <f t="shared" si="26"/>
        <v>100</v>
      </c>
      <c r="AE310" s="8">
        <v>0</v>
      </c>
      <c r="AF310" s="8">
        <v>0</v>
      </c>
      <c r="AG310" s="8">
        <v>0</v>
      </c>
      <c r="AH310" s="8">
        <v>0</v>
      </c>
      <c r="AI310" s="39" t="s">
        <v>1531</v>
      </c>
      <c r="AJ310" s="7"/>
      <c r="AK310" s="62"/>
      <c r="AL310" s="158"/>
      <c r="AM310" s="85"/>
      <c r="AN310" s="85"/>
      <c r="AO310" s="85"/>
      <c r="AP310" s="85"/>
      <c r="AQ310" s="85"/>
      <c r="AR310" s="85"/>
      <c r="AS310" s="85"/>
      <c r="AT310" s="205"/>
      <c r="AU310" s="85"/>
      <c r="AV310" s="196"/>
      <c r="AW310" s="85"/>
      <c r="AX310" s="85"/>
      <c r="AY310" s="39">
        <v>0.4</v>
      </c>
      <c r="AZ310" s="7">
        <v>105</v>
      </c>
      <c r="BA310" s="62"/>
      <c r="BB310" s="7">
        <v>2</v>
      </c>
      <c r="BC310" s="85">
        <v>19</v>
      </c>
      <c r="BD310" s="7">
        <v>110</v>
      </c>
      <c r="BE310" s="7">
        <v>12.3</v>
      </c>
      <c r="BF310" s="39">
        <v>2</v>
      </c>
      <c r="BG310" s="7">
        <v>6.7</v>
      </c>
      <c r="BH310" s="62">
        <v>108</v>
      </c>
      <c r="BI310" s="7"/>
      <c r="BJ310" s="32"/>
      <c r="BK310" s="256"/>
    </row>
    <row r="311" spans="1:63" ht="23.25" customHeight="1" thickBot="1" x14ac:dyDescent="0.25">
      <c r="A311" s="7">
        <v>310</v>
      </c>
      <c r="B311" s="221"/>
      <c r="C311" s="221"/>
      <c r="D311" s="54" t="s">
        <v>101</v>
      </c>
      <c r="E311" s="54"/>
      <c r="F311" s="16">
        <v>79.857142857142861</v>
      </c>
      <c r="G311" s="8">
        <v>10.678571428571431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2.3214285714285721</v>
      </c>
      <c r="Q311" s="8">
        <v>0</v>
      </c>
      <c r="R311" s="8">
        <v>0</v>
      </c>
      <c r="S311" s="17">
        <v>0</v>
      </c>
      <c r="T311" s="8">
        <v>4.6428571428571441</v>
      </c>
      <c r="U311" s="8">
        <v>0</v>
      </c>
      <c r="V311" s="8">
        <v>2.5</v>
      </c>
      <c r="W311" s="8">
        <v>0</v>
      </c>
      <c r="X311" s="8">
        <v>0</v>
      </c>
      <c r="Y311" s="8">
        <v>0</v>
      </c>
      <c r="Z311" s="8">
        <v>0</v>
      </c>
      <c r="AA311" s="8">
        <v>0</v>
      </c>
      <c r="AB311" s="8">
        <v>0</v>
      </c>
      <c r="AC311" s="8">
        <v>0</v>
      </c>
      <c r="AD311" s="14">
        <f t="shared" si="26"/>
        <v>100</v>
      </c>
      <c r="AE311" s="8">
        <v>0</v>
      </c>
      <c r="AF311" s="8">
        <v>0</v>
      </c>
      <c r="AG311" s="8">
        <v>0</v>
      </c>
      <c r="AH311" s="8">
        <v>0</v>
      </c>
      <c r="AI311" s="39" t="s">
        <v>1531</v>
      </c>
      <c r="AJ311" s="7"/>
      <c r="AK311" s="62"/>
      <c r="AL311" s="158"/>
      <c r="AM311" s="85"/>
      <c r="AN311" s="85"/>
      <c r="AO311" s="85"/>
      <c r="AP311" s="85"/>
      <c r="AQ311" s="85"/>
      <c r="AR311" s="85"/>
      <c r="AS311" s="85"/>
      <c r="AT311" s="205"/>
      <c r="AU311" s="85"/>
      <c r="AV311" s="196"/>
      <c r="AW311" s="85"/>
      <c r="AX311" s="85"/>
      <c r="AY311" s="39">
        <v>0.4</v>
      </c>
      <c r="AZ311" s="7">
        <v>83</v>
      </c>
      <c r="BA311" s="62"/>
      <c r="BB311" s="7">
        <v>2</v>
      </c>
      <c r="BC311" s="85">
        <v>15</v>
      </c>
      <c r="BD311" s="7">
        <v>89.1</v>
      </c>
      <c r="BE311" s="7">
        <v>14.8</v>
      </c>
      <c r="BF311" s="39">
        <v>2</v>
      </c>
      <c r="BG311" s="7">
        <v>4.5</v>
      </c>
      <c r="BH311" s="62">
        <v>84.5</v>
      </c>
      <c r="BI311" s="7"/>
      <c r="BJ311" s="32"/>
      <c r="BK311" s="256"/>
    </row>
    <row r="312" spans="1:63" ht="23.25" customHeight="1" thickBot="1" x14ac:dyDescent="0.25">
      <c r="A312" s="62">
        <v>311</v>
      </c>
      <c r="B312" s="221"/>
      <c r="C312" s="221"/>
      <c r="D312" s="54" t="s">
        <v>102</v>
      </c>
      <c r="E312" s="54"/>
      <c r="F312" s="16">
        <v>78.928571428571431</v>
      </c>
      <c r="G312" s="8">
        <v>11.142857142857142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2.7857142857142856</v>
      </c>
      <c r="Q312" s="8">
        <v>0</v>
      </c>
      <c r="R312" s="8">
        <v>0</v>
      </c>
      <c r="S312" s="17">
        <v>0</v>
      </c>
      <c r="T312" s="8">
        <v>4.6428571428571432</v>
      </c>
      <c r="U312" s="8">
        <v>0</v>
      </c>
      <c r="V312" s="8">
        <v>2.5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14">
        <f t="shared" si="26"/>
        <v>100</v>
      </c>
      <c r="AE312" s="8">
        <v>0</v>
      </c>
      <c r="AF312" s="8">
        <v>0</v>
      </c>
      <c r="AG312" s="8">
        <v>0</v>
      </c>
      <c r="AH312" s="8">
        <v>0</v>
      </c>
      <c r="AI312" s="39" t="s">
        <v>1531</v>
      </c>
      <c r="AJ312" s="7"/>
      <c r="AK312" s="62"/>
      <c r="AL312" s="158"/>
      <c r="AM312" s="85"/>
      <c r="AN312" s="85"/>
      <c r="AO312" s="85"/>
      <c r="AP312" s="85"/>
      <c r="AQ312" s="85"/>
      <c r="AR312" s="85"/>
      <c r="AS312" s="85"/>
      <c r="AT312" s="205"/>
      <c r="AU312" s="85"/>
      <c r="AV312" s="196"/>
      <c r="AW312" s="85"/>
      <c r="AX312" s="85"/>
      <c r="AY312" s="39">
        <v>0.4</v>
      </c>
      <c r="AZ312" s="7">
        <v>60</v>
      </c>
      <c r="BA312" s="62"/>
      <c r="BB312" s="7">
        <v>2</v>
      </c>
      <c r="BC312" s="85">
        <v>12</v>
      </c>
      <c r="BD312" s="7">
        <v>67.8</v>
      </c>
      <c r="BE312" s="7">
        <v>18.100000000000001</v>
      </c>
      <c r="BF312" s="39">
        <v>2</v>
      </c>
      <c r="BG312" s="7">
        <v>4.4000000000000004</v>
      </c>
      <c r="BH312" s="62"/>
      <c r="BI312" s="7"/>
      <c r="BJ312" s="32"/>
      <c r="BK312" s="256"/>
    </row>
    <row r="313" spans="1:63" s="6" customFormat="1" ht="23.25" customHeight="1" thickBot="1" x14ac:dyDescent="0.25">
      <c r="A313" s="7">
        <v>312</v>
      </c>
      <c r="B313" s="222"/>
      <c r="C313" s="222"/>
      <c r="D313" s="13" t="s">
        <v>103</v>
      </c>
      <c r="E313" s="13"/>
      <c r="F313" s="80">
        <v>78.928571428571431</v>
      </c>
      <c r="G313" s="81">
        <v>10.678571428571431</v>
      </c>
      <c r="H313" s="81">
        <v>0</v>
      </c>
      <c r="I313" s="81">
        <v>0</v>
      </c>
      <c r="J313" s="81">
        <v>0</v>
      </c>
      <c r="K313" s="81">
        <v>0</v>
      </c>
      <c r="L313" s="81">
        <v>0</v>
      </c>
      <c r="M313" s="81">
        <v>0</v>
      </c>
      <c r="N313" s="81">
        <v>0</v>
      </c>
      <c r="O313" s="81">
        <v>0</v>
      </c>
      <c r="P313" s="81">
        <v>3.2500000000000009</v>
      </c>
      <c r="Q313" s="81">
        <v>0</v>
      </c>
      <c r="R313" s="81">
        <v>0</v>
      </c>
      <c r="S313" s="82">
        <v>0</v>
      </c>
      <c r="T313" s="81">
        <v>5.3571428571428577</v>
      </c>
      <c r="U313" s="81">
        <v>0</v>
      </c>
      <c r="V313" s="81">
        <v>1.785714285714286</v>
      </c>
      <c r="W313" s="81">
        <v>0</v>
      </c>
      <c r="X313" s="81">
        <v>0</v>
      </c>
      <c r="Y313" s="81">
        <v>0</v>
      </c>
      <c r="Z313" s="81">
        <v>0</v>
      </c>
      <c r="AA313" s="81">
        <v>0</v>
      </c>
      <c r="AB313" s="81">
        <v>0</v>
      </c>
      <c r="AC313" s="81">
        <v>0</v>
      </c>
      <c r="AD313" s="83">
        <f t="shared" si="26"/>
        <v>100.00000000000001</v>
      </c>
      <c r="AE313" s="81">
        <v>0</v>
      </c>
      <c r="AF313" s="81">
        <v>0</v>
      </c>
      <c r="AG313" s="81">
        <v>0</v>
      </c>
      <c r="AH313" s="81">
        <v>0</v>
      </c>
      <c r="AI313" s="79" t="s">
        <v>1531</v>
      </c>
      <c r="AJ313" s="65"/>
      <c r="AK313" s="78"/>
      <c r="AL313" s="200"/>
      <c r="AM313" s="190"/>
      <c r="AN313" s="190"/>
      <c r="AO313" s="190"/>
      <c r="AP313" s="190"/>
      <c r="AQ313" s="190"/>
      <c r="AR313" s="190"/>
      <c r="AS313" s="190"/>
      <c r="AT313" s="201"/>
      <c r="AU313" s="190"/>
      <c r="AV313" s="202"/>
      <c r="AW313" s="190"/>
      <c r="AX313" s="190"/>
      <c r="AY313" s="79"/>
      <c r="AZ313" s="65"/>
      <c r="BA313" s="78"/>
      <c r="BB313" s="65">
        <v>2</v>
      </c>
      <c r="BC313" s="190">
        <v>6</v>
      </c>
      <c r="BD313" s="65">
        <v>33.4</v>
      </c>
      <c r="BE313" s="65">
        <v>34.9</v>
      </c>
      <c r="BF313" s="79">
        <v>2</v>
      </c>
      <c r="BG313" s="65">
        <v>6.2</v>
      </c>
      <c r="BH313" s="78"/>
      <c r="BI313" s="65"/>
      <c r="BJ313" s="68"/>
      <c r="BK313" s="256"/>
    </row>
    <row r="314" spans="1:63" ht="23.25" customHeight="1" thickBot="1" x14ac:dyDescent="0.25">
      <c r="A314" s="62">
        <v>313</v>
      </c>
      <c r="B314" s="221">
        <v>119</v>
      </c>
      <c r="C314" s="221" t="s">
        <v>1546</v>
      </c>
      <c r="D314" s="225" t="s">
        <v>2</v>
      </c>
      <c r="E314" s="54" t="s">
        <v>309</v>
      </c>
      <c r="F314" s="16">
        <v>81.714285714285708</v>
      </c>
      <c r="G314" s="8">
        <v>11.142857142857142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17">
        <v>0</v>
      </c>
      <c r="T314" s="8">
        <v>7.1428571428571423</v>
      </c>
      <c r="U314" s="8">
        <v>0</v>
      </c>
      <c r="V314" s="8">
        <v>0</v>
      </c>
      <c r="W314" s="8">
        <v>0</v>
      </c>
      <c r="X314" s="8">
        <v>0</v>
      </c>
      <c r="Y314" s="8">
        <v>0</v>
      </c>
      <c r="Z314" s="8">
        <v>0</v>
      </c>
      <c r="AA314" s="8">
        <v>0</v>
      </c>
      <c r="AB314" s="8">
        <v>0</v>
      </c>
      <c r="AC314" s="8">
        <v>0</v>
      </c>
      <c r="AD314" s="14">
        <f t="shared" si="26"/>
        <v>99.999999999999986</v>
      </c>
      <c r="AE314" s="8">
        <v>0</v>
      </c>
      <c r="AF314" s="8">
        <v>0</v>
      </c>
      <c r="AG314" s="8">
        <v>0</v>
      </c>
      <c r="AH314" s="8">
        <v>0</v>
      </c>
      <c r="AI314" s="39" t="s">
        <v>1531</v>
      </c>
      <c r="AJ314" s="7">
        <v>240</v>
      </c>
      <c r="AK314" s="62">
        <v>1323</v>
      </c>
      <c r="AL314" s="158"/>
      <c r="AM314" s="85"/>
      <c r="AN314" s="85"/>
      <c r="AO314" s="85"/>
      <c r="AP314" s="85"/>
      <c r="AQ314" s="85"/>
      <c r="AR314" s="85"/>
      <c r="AS314" s="85"/>
      <c r="AT314" s="205"/>
      <c r="AU314" s="85"/>
      <c r="AV314" s="196"/>
      <c r="AW314" s="85"/>
      <c r="AX314" s="85"/>
      <c r="AY314" s="39"/>
      <c r="AZ314" s="7">
        <v>196.9</v>
      </c>
      <c r="BA314" s="62"/>
      <c r="BB314" s="7"/>
      <c r="BC314" s="7"/>
      <c r="BD314" s="7"/>
      <c r="BE314" s="7"/>
      <c r="BF314" s="39"/>
      <c r="BG314" s="7"/>
      <c r="BH314" s="62"/>
      <c r="BI314" s="7"/>
      <c r="BJ314" s="32"/>
      <c r="BK314" s="256" t="s">
        <v>8</v>
      </c>
    </row>
    <row r="315" spans="1:63" ht="23.25" customHeight="1" thickBot="1" x14ac:dyDescent="0.25">
      <c r="A315" s="7">
        <v>314</v>
      </c>
      <c r="B315" s="221"/>
      <c r="C315" s="221"/>
      <c r="D315" s="223"/>
      <c r="E315" s="54" t="s">
        <v>232</v>
      </c>
      <c r="F315" s="16">
        <v>81.714285714285708</v>
      </c>
      <c r="G315" s="8">
        <v>11.142857142857142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17">
        <v>0</v>
      </c>
      <c r="T315" s="8">
        <v>7.1428571428571423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</v>
      </c>
      <c r="AC315" s="8">
        <v>0</v>
      </c>
      <c r="AD315" s="14">
        <f t="shared" si="26"/>
        <v>99.999999999999986</v>
      </c>
      <c r="AE315" s="8">
        <f>0.5/14*100</f>
        <v>3.5714285714285712</v>
      </c>
      <c r="AF315" s="8">
        <v>0</v>
      </c>
      <c r="AG315" s="8">
        <v>0</v>
      </c>
      <c r="AH315" s="8">
        <v>0</v>
      </c>
      <c r="AI315" s="39" t="s">
        <v>1531</v>
      </c>
      <c r="AJ315" s="7">
        <v>240</v>
      </c>
      <c r="AK315" s="62">
        <v>1323</v>
      </c>
      <c r="AL315" s="158"/>
      <c r="AM315" s="85"/>
      <c r="AN315" s="85"/>
      <c r="AO315" s="85"/>
      <c r="AP315" s="85"/>
      <c r="AQ315" s="85"/>
      <c r="AR315" s="85"/>
      <c r="AS315" s="85"/>
      <c r="AT315" s="205"/>
      <c r="AU315" s="85"/>
      <c r="AV315" s="196"/>
      <c r="AW315" s="85"/>
      <c r="AX315" s="85"/>
      <c r="AY315" s="39"/>
      <c r="AZ315" s="7">
        <v>235.3</v>
      </c>
      <c r="BA315" s="62"/>
      <c r="BB315" s="7"/>
      <c r="BC315" s="7"/>
      <c r="BD315" s="7"/>
      <c r="BE315" s="7"/>
      <c r="BF315" s="39"/>
      <c r="BG315" s="7"/>
      <c r="BH315" s="62"/>
      <c r="BI315" s="7"/>
      <c r="BJ315" s="32"/>
      <c r="BK315" s="256"/>
    </row>
    <row r="316" spans="1:63" ht="23.25" customHeight="1" thickBot="1" x14ac:dyDescent="0.25">
      <c r="A316" s="62">
        <v>315</v>
      </c>
      <c r="B316" s="221"/>
      <c r="C316" s="221"/>
      <c r="D316" s="223"/>
      <c r="E316" s="54" t="s">
        <v>239</v>
      </c>
      <c r="F316" s="16">
        <v>81.714285714285708</v>
      </c>
      <c r="G316" s="8">
        <v>11.142857142857142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17">
        <v>0</v>
      </c>
      <c r="T316" s="8">
        <v>7.1428571428571423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>
        <v>0</v>
      </c>
      <c r="AC316" s="8">
        <v>0</v>
      </c>
      <c r="AD316" s="14">
        <f t="shared" si="26"/>
        <v>99.999999999999986</v>
      </c>
      <c r="AE316" s="8">
        <f>1/14*100</f>
        <v>7.1428571428571423</v>
      </c>
      <c r="AF316" s="8">
        <v>0</v>
      </c>
      <c r="AG316" s="8">
        <v>0</v>
      </c>
      <c r="AH316" s="8">
        <v>0</v>
      </c>
      <c r="AI316" s="39" t="s">
        <v>1531</v>
      </c>
      <c r="AJ316" s="7">
        <v>240</v>
      </c>
      <c r="AK316" s="62">
        <v>1323</v>
      </c>
      <c r="AL316" s="158"/>
      <c r="AM316" s="85"/>
      <c r="AN316" s="85"/>
      <c r="AO316" s="85"/>
      <c r="AP316" s="85"/>
      <c r="AQ316" s="85"/>
      <c r="AR316" s="85"/>
      <c r="AS316" s="85"/>
      <c r="AT316" s="205"/>
      <c r="AU316" s="85"/>
      <c r="AV316" s="196"/>
      <c r="AW316" s="85"/>
      <c r="AX316" s="85"/>
      <c r="AY316" s="39"/>
      <c r="AZ316" s="7">
        <v>276.89999999999998</v>
      </c>
      <c r="BA316" s="62"/>
      <c r="BB316" s="7"/>
      <c r="BC316" s="7"/>
      <c r="BD316" s="7"/>
      <c r="BE316" s="7"/>
      <c r="BF316" s="39"/>
      <c r="BG316" s="7"/>
      <c r="BH316" s="62"/>
      <c r="BI316" s="7"/>
      <c r="BJ316" s="32"/>
      <c r="BK316" s="256"/>
    </row>
    <row r="317" spans="1:63" ht="23.25" customHeight="1" thickBot="1" x14ac:dyDescent="0.25">
      <c r="A317" s="7">
        <v>316</v>
      </c>
      <c r="B317" s="221"/>
      <c r="C317" s="221"/>
      <c r="D317" s="223"/>
      <c r="E317" s="54" t="s">
        <v>233</v>
      </c>
      <c r="F317" s="16">
        <v>81.714285714285708</v>
      </c>
      <c r="G317" s="8">
        <v>11.142857142857142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17">
        <v>0</v>
      </c>
      <c r="T317" s="8">
        <v>7.1428571428571423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8">
        <v>0</v>
      </c>
      <c r="AA317" s="8">
        <v>0</v>
      </c>
      <c r="AB317" s="8">
        <v>0</v>
      </c>
      <c r="AC317" s="8">
        <v>0</v>
      </c>
      <c r="AD317" s="14">
        <f t="shared" si="26"/>
        <v>99.999999999999986</v>
      </c>
      <c r="AE317" s="8">
        <f>1.5/14*100</f>
        <v>10.714285714285714</v>
      </c>
      <c r="AF317" s="8">
        <v>0</v>
      </c>
      <c r="AG317" s="8">
        <v>0</v>
      </c>
      <c r="AH317" s="8">
        <v>0</v>
      </c>
      <c r="AI317" s="39" t="s">
        <v>1531</v>
      </c>
      <c r="AJ317" s="7">
        <v>240</v>
      </c>
      <c r="AK317" s="62">
        <v>1323</v>
      </c>
      <c r="AL317" s="158"/>
      <c r="AM317" s="85"/>
      <c r="AN317" s="85"/>
      <c r="AO317" s="85"/>
      <c r="AP317" s="85"/>
      <c r="AQ317" s="85"/>
      <c r="AR317" s="85"/>
      <c r="AS317" s="85"/>
      <c r="AT317" s="205"/>
      <c r="AU317" s="85"/>
      <c r="AV317" s="196"/>
      <c r="AW317" s="85"/>
      <c r="AX317" s="85"/>
      <c r="AY317" s="39"/>
      <c r="AZ317" s="7">
        <v>325.16000000000003</v>
      </c>
      <c r="BA317" s="62"/>
      <c r="BB317" s="7"/>
      <c r="BC317" s="7"/>
      <c r="BD317" s="7"/>
      <c r="BE317" s="7"/>
      <c r="BF317" s="39"/>
      <c r="BG317" s="7"/>
      <c r="BH317" s="62"/>
      <c r="BI317" s="7"/>
      <c r="BJ317" s="32"/>
      <c r="BK317" s="256"/>
    </row>
    <row r="318" spans="1:63" ht="23.25" customHeight="1" thickBot="1" x14ac:dyDescent="0.25">
      <c r="A318" s="62">
        <v>317</v>
      </c>
      <c r="B318" s="221"/>
      <c r="C318" s="221"/>
      <c r="D318" s="223" t="s">
        <v>306</v>
      </c>
      <c r="E318" s="54" t="s">
        <v>299</v>
      </c>
      <c r="F318" s="16">
        <v>81.714285714285708</v>
      </c>
      <c r="G318" s="8">
        <v>11.142857142857142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17">
        <v>0</v>
      </c>
      <c r="T318" s="8">
        <v>6.4285714285714297</v>
      </c>
      <c r="U318" s="8">
        <v>0</v>
      </c>
      <c r="V318" s="8">
        <v>0.7142857142857143</v>
      </c>
      <c r="W318" s="8">
        <v>0</v>
      </c>
      <c r="X318" s="8">
        <v>0</v>
      </c>
      <c r="Y318" s="8">
        <v>0</v>
      </c>
      <c r="Z318" s="8">
        <v>0</v>
      </c>
      <c r="AA318" s="8">
        <v>0</v>
      </c>
      <c r="AB318" s="8">
        <v>0</v>
      </c>
      <c r="AC318" s="8">
        <v>0</v>
      </c>
      <c r="AD318" s="14">
        <f t="shared" si="26"/>
        <v>99.999999999999986</v>
      </c>
      <c r="AE318" s="8">
        <v>0</v>
      </c>
      <c r="AF318" s="8">
        <v>0</v>
      </c>
      <c r="AG318" s="8">
        <v>0</v>
      </c>
      <c r="AH318" s="8">
        <v>0</v>
      </c>
      <c r="AI318" s="39" t="s">
        <v>1531</v>
      </c>
      <c r="AJ318" s="7">
        <v>240</v>
      </c>
      <c r="AK318" s="62">
        <v>1323</v>
      </c>
      <c r="AL318" s="158"/>
      <c r="AM318" s="85"/>
      <c r="AN318" s="85"/>
      <c r="AO318" s="85"/>
      <c r="AP318" s="85"/>
      <c r="AQ318" s="85"/>
      <c r="AR318" s="85"/>
      <c r="AS318" s="85"/>
      <c r="AT318" s="205"/>
      <c r="AU318" s="85"/>
      <c r="AV318" s="196"/>
      <c r="AW318" s="85"/>
      <c r="AX318" s="85"/>
      <c r="AY318" s="39"/>
      <c r="AZ318" s="7">
        <v>192.9</v>
      </c>
      <c r="BA318" s="62"/>
      <c r="BB318" s="7"/>
      <c r="BC318" s="7"/>
      <c r="BD318" s="7"/>
      <c r="BE318" s="7"/>
      <c r="BF318" s="39"/>
      <c r="BG318" s="7"/>
      <c r="BH318" s="62"/>
      <c r="BI318" s="7"/>
      <c r="BJ318" s="32"/>
      <c r="BK318" s="256"/>
    </row>
    <row r="319" spans="1:63" ht="23.25" customHeight="1" thickBot="1" x14ac:dyDescent="0.25">
      <c r="A319" s="7">
        <v>318</v>
      </c>
      <c r="B319" s="221"/>
      <c r="C319" s="221"/>
      <c r="D319" s="223"/>
      <c r="E319" s="54" t="s">
        <v>300</v>
      </c>
      <c r="F319" s="16">
        <v>81.714285714285708</v>
      </c>
      <c r="G319" s="8">
        <v>11.142857142857142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17">
        <v>0</v>
      </c>
      <c r="T319" s="8">
        <v>5.7142857142857144</v>
      </c>
      <c r="U319" s="8">
        <v>0</v>
      </c>
      <c r="V319" s="8">
        <v>1.4285714285714286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D319" s="14">
        <f t="shared" si="26"/>
        <v>99.999999999999986</v>
      </c>
      <c r="AE319" s="8">
        <v>0</v>
      </c>
      <c r="AF319" s="8">
        <v>0</v>
      </c>
      <c r="AG319" s="8">
        <v>0</v>
      </c>
      <c r="AH319" s="8">
        <v>0</v>
      </c>
      <c r="AI319" s="39" t="s">
        <v>1531</v>
      </c>
      <c r="AJ319" s="7">
        <v>240</v>
      </c>
      <c r="AK319" s="62">
        <v>1323</v>
      </c>
      <c r="AL319" s="158"/>
      <c r="AM319" s="85"/>
      <c r="AN319" s="85"/>
      <c r="AO319" s="85"/>
      <c r="AP319" s="85"/>
      <c r="AQ319" s="85"/>
      <c r="AR319" s="85"/>
      <c r="AS319" s="85"/>
      <c r="AT319" s="205"/>
      <c r="AU319" s="85"/>
      <c r="AV319" s="196"/>
      <c r="AW319" s="85"/>
      <c r="AX319" s="85"/>
      <c r="AY319" s="39"/>
      <c r="AZ319" s="7">
        <v>183.9</v>
      </c>
      <c r="BA319" s="62"/>
      <c r="BB319" s="7"/>
      <c r="BC319" s="7"/>
      <c r="BD319" s="7"/>
      <c r="BE319" s="7"/>
      <c r="BF319" s="39"/>
      <c r="BG319" s="7"/>
      <c r="BH319" s="62"/>
      <c r="BI319" s="7"/>
      <c r="BJ319" s="32"/>
      <c r="BK319" s="256"/>
    </row>
    <row r="320" spans="1:63" ht="23.25" customHeight="1" thickBot="1" x14ac:dyDescent="0.25">
      <c r="A320" s="62">
        <v>319</v>
      </c>
      <c r="B320" s="221"/>
      <c r="C320" s="221"/>
      <c r="D320" s="224"/>
      <c r="E320" s="54" t="s">
        <v>301</v>
      </c>
      <c r="F320" s="16">
        <v>81.714285714285708</v>
      </c>
      <c r="G320" s="8">
        <v>11.142857142857142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17">
        <v>0</v>
      </c>
      <c r="T320" s="8">
        <v>5</v>
      </c>
      <c r="U320" s="8">
        <v>0</v>
      </c>
      <c r="V320" s="8">
        <v>2.1428571428571428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14">
        <f t="shared" si="26"/>
        <v>99.999999999999986</v>
      </c>
      <c r="AE320" s="8">
        <v>0</v>
      </c>
      <c r="AF320" s="8">
        <v>0</v>
      </c>
      <c r="AG320" s="8">
        <v>0</v>
      </c>
      <c r="AH320" s="8">
        <v>0</v>
      </c>
      <c r="AI320" s="39" t="s">
        <v>1531</v>
      </c>
      <c r="AJ320" s="7">
        <v>240</v>
      </c>
      <c r="AK320" s="62">
        <v>1323</v>
      </c>
      <c r="AL320" s="158"/>
      <c r="AM320" s="85"/>
      <c r="AN320" s="85"/>
      <c r="AO320" s="85"/>
      <c r="AP320" s="85"/>
      <c r="AQ320" s="85"/>
      <c r="AR320" s="85"/>
      <c r="AS320" s="85"/>
      <c r="AT320" s="205"/>
      <c r="AU320" s="85"/>
      <c r="AV320" s="196"/>
      <c r="AW320" s="85"/>
      <c r="AX320" s="85"/>
      <c r="AY320" s="39"/>
      <c r="AZ320" s="7">
        <v>176.2</v>
      </c>
      <c r="BA320" s="62"/>
      <c r="BB320" s="7"/>
      <c r="BC320" s="7"/>
      <c r="BD320" s="7"/>
      <c r="BE320" s="7"/>
      <c r="BF320" s="39"/>
      <c r="BG320" s="7"/>
      <c r="BH320" s="62"/>
      <c r="BI320" s="7"/>
      <c r="BJ320" s="32"/>
      <c r="BK320" s="256"/>
    </row>
    <row r="321" spans="1:63" s="4" customFormat="1" ht="23.25" customHeight="1" thickBot="1" x14ac:dyDescent="0.25">
      <c r="A321" s="7">
        <v>320</v>
      </c>
      <c r="B321" s="238">
        <v>120</v>
      </c>
      <c r="C321" s="238" t="s">
        <v>1545</v>
      </c>
      <c r="D321" s="12" t="s">
        <v>11</v>
      </c>
      <c r="E321" s="12"/>
      <c r="F321" s="87">
        <v>80</v>
      </c>
      <c r="G321" s="88">
        <v>12.857142857142859</v>
      </c>
      <c r="H321" s="88">
        <v>0</v>
      </c>
      <c r="I321" s="88">
        <v>0</v>
      </c>
      <c r="J321" s="88">
        <v>0</v>
      </c>
      <c r="K321" s="88">
        <v>0</v>
      </c>
      <c r="L321" s="88">
        <v>0</v>
      </c>
      <c r="M321" s="88">
        <v>0</v>
      </c>
      <c r="N321" s="88">
        <v>0</v>
      </c>
      <c r="O321" s="88">
        <v>0</v>
      </c>
      <c r="P321" s="88">
        <v>0</v>
      </c>
      <c r="Q321" s="88">
        <v>0</v>
      </c>
      <c r="R321" s="88">
        <v>0</v>
      </c>
      <c r="S321" s="89">
        <v>0</v>
      </c>
      <c r="T321" s="88">
        <v>7.1428571428571423</v>
      </c>
      <c r="U321" s="88">
        <v>0</v>
      </c>
      <c r="V321" s="88">
        <v>0</v>
      </c>
      <c r="W321" s="88">
        <v>0</v>
      </c>
      <c r="X321" s="88">
        <v>0</v>
      </c>
      <c r="Y321" s="88">
        <v>0</v>
      </c>
      <c r="Z321" s="88">
        <v>0</v>
      </c>
      <c r="AA321" s="88">
        <v>0</v>
      </c>
      <c r="AB321" s="88">
        <v>0</v>
      </c>
      <c r="AC321" s="88">
        <v>0</v>
      </c>
      <c r="AD321" s="90">
        <f t="shared" si="26"/>
        <v>100</v>
      </c>
      <c r="AE321" s="88">
        <v>0</v>
      </c>
      <c r="AF321" s="88">
        <v>0</v>
      </c>
      <c r="AG321" s="88">
        <v>0</v>
      </c>
      <c r="AH321" s="88">
        <v>0</v>
      </c>
      <c r="AI321" s="156" t="s">
        <v>1531</v>
      </c>
      <c r="AJ321" s="45">
        <v>960</v>
      </c>
      <c r="AK321" s="91">
        <v>1373</v>
      </c>
      <c r="AL321" s="197">
        <v>100</v>
      </c>
      <c r="AM321" s="189"/>
      <c r="AN321" s="189"/>
      <c r="AO321" s="189"/>
      <c r="AP321" s="189"/>
      <c r="AQ321" s="189"/>
      <c r="AR321" s="189"/>
      <c r="AS321" s="189"/>
      <c r="AT321" s="198"/>
      <c r="AU321" s="189"/>
      <c r="AV321" s="199">
        <f t="shared" ref="AV321:AV328" si="28">SUM(AL321:AT321)</f>
        <v>100</v>
      </c>
      <c r="AW321" s="189">
        <v>11.462</v>
      </c>
      <c r="AX321" s="189"/>
      <c r="AY321" s="156">
        <v>0.01</v>
      </c>
      <c r="AZ321" s="45">
        <v>216</v>
      </c>
      <c r="BA321" s="91"/>
      <c r="BB321" s="45" t="s">
        <v>590</v>
      </c>
      <c r="BC321" s="45" t="s">
        <v>736</v>
      </c>
      <c r="BD321" s="45" t="s">
        <v>739</v>
      </c>
      <c r="BE321" s="45" t="s">
        <v>742</v>
      </c>
      <c r="BF321" s="156"/>
      <c r="BG321" s="45"/>
      <c r="BH321" s="91"/>
      <c r="BI321" s="45"/>
      <c r="BJ321" s="67"/>
      <c r="BK321" s="256"/>
    </row>
    <row r="322" spans="1:63" ht="23.25" customHeight="1" thickBot="1" x14ac:dyDescent="0.25">
      <c r="A322" s="62">
        <v>321</v>
      </c>
      <c r="B322" s="221"/>
      <c r="C322" s="221"/>
      <c r="D322" s="54" t="s">
        <v>104</v>
      </c>
      <c r="E322" s="54"/>
      <c r="F322" s="16">
        <v>80</v>
      </c>
      <c r="G322" s="8">
        <v>12.857142857142859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17">
        <v>0</v>
      </c>
      <c r="T322" s="8">
        <v>5</v>
      </c>
      <c r="U322" s="8">
        <v>0</v>
      </c>
      <c r="V322" s="8">
        <v>0</v>
      </c>
      <c r="W322" s="8">
        <v>2.1428571428571428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14">
        <f t="shared" si="26"/>
        <v>100</v>
      </c>
      <c r="AE322" s="8">
        <v>0</v>
      </c>
      <c r="AF322" s="8">
        <v>0</v>
      </c>
      <c r="AG322" s="8">
        <v>0</v>
      </c>
      <c r="AH322" s="8">
        <v>0</v>
      </c>
      <c r="AI322" s="39" t="s">
        <v>1531</v>
      </c>
      <c r="AJ322" s="7">
        <v>960</v>
      </c>
      <c r="AK322" s="62">
        <v>1373</v>
      </c>
      <c r="AL322" s="158">
        <v>100</v>
      </c>
      <c r="AM322" s="85"/>
      <c r="AN322" s="85"/>
      <c r="AO322" s="85"/>
      <c r="AP322" s="85"/>
      <c r="AQ322" s="85"/>
      <c r="AR322" s="85"/>
      <c r="AS322" s="85"/>
      <c r="AT322" s="205"/>
      <c r="AU322" s="85"/>
      <c r="AV322" s="196">
        <f t="shared" si="28"/>
        <v>100</v>
      </c>
      <c r="AW322" s="85">
        <v>11.451000000000001</v>
      </c>
      <c r="AX322" s="85"/>
      <c r="AY322" s="39">
        <v>0.01</v>
      </c>
      <c r="AZ322" s="7">
        <v>203</v>
      </c>
      <c r="BA322" s="62">
        <v>0.3</v>
      </c>
      <c r="BB322" s="7" t="s">
        <v>590</v>
      </c>
      <c r="BC322" s="7" t="s">
        <v>737</v>
      </c>
      <c r="BD322" s="7" t="s">
        <v>740</v>
      </c>
      <c r="BE322" s="7" t="s">
        <v>743</v>
      </c>
      <c r="BF322" s="39"/>
      <c r="BG322" s="7"/>
      <c r="BH322" s="62"/>
      <c r="BI322" s="7"/>
      <c r="BJ322" s="32"/>
      <c r="BK322" s="256"/>
    </row>
    <row r="323" spans="1:63" s="6" customFormat="1" ht="23.25" customHeight="1" thickBot="1" x14ac:dyDescent="0.25">
      <c r="A323" s="7">
        <v>322</v>
      </c>
      <c r="B323" s="222"/>
      <c r="C323" s="222"/>
      <c r="D323" s="13" t="s">
        <v>105</v>
      </c>
      <c r="E323" s="13"/>
      <c r="F323" s="80">
        <v>74.285714285714278</v>
      </c>
      <c r="G323" s="81">
        <v>12.857142857142856</v>
      </c>
      <c r="H323" s="81">
        <v>0</v>
      </c>
      <c r="I323" s="81">
        <v>0</v>
      </c>
      <c r="J323" s="81">
        <v>5.7142857142857144</v>
      </c>
      <c r="K323" s="81">
        <v>0</v>
      </c>
      <c r="L323" s="81">
        <v>0</v>
      </c>
      <c r="M323" s="81">
        <v>0</v>
      </c>
      <c r="N323" s="81">
        <v>0</v>
      </c>
      <c r="O323" s="81">
        <v>0</v>
      </c>
      <c r="P323" s="81">
        <v>0</v>
      </c>
      <c r="Q323" s="81">
        <v>0</v>
      </c>
      <c r="R323" s="81">
        <v>0</v>
      </c>
      <c r="S323" s="82">
        <v>0</v>
      </c>
      <c r="T323" s="81">
        <v>4.9999999999999991</v>
      </c>
      <c r="U323" s="81">
        <v>0</v>
      </c>
      <c r="V323" s="81">
        <v>0</v>
      </c>
      <c r="W323" s="81">
        <v>2.1428571428571423</v>
      </c>
      <c r="X323" s="81">
        <v>0</v>
      </c>
      <c r="Y323" s="81">
        <v>0</v>
      </c>
      <c r="Z323" s="81">
        <v>0</v>
      </c>
      <c r="AA323" s="81">
        <v>0</v>
      </c>
      <c r="AB323" s="81">
        <v>0</v>
      </c>
      <c r="AC323" s="81">
        <v>0</v>
      </c>
      <c r="AD323" s="83">
        <f t="shared" si="26"/>
        <v>99.999999999999986</v>
      </c>
      <c r="AE323" s="81">
        <v>0</v>
      </c>
      <c r="AF323" s="81">
        <v>0</v>
      </c>
      <c r="AG323" s="81">
        <v>0</v>
      </c>
      <c r="AH323" s="81">
        <v>0</v>
      </c>
      <c r="AI323" s="79" t="s">
        <v>1531</v>
      </c>
      <c r="AJ323" s="65">
        <v>960</v>
      </c>
      <c r="AK323" s="78">
        <v>1373</v>
      </c>
      <c r="AL323" s="200">
        <v>100</v>
      </c>
      <c r="AM323" s="190"/>
      <c r="AN323" s="190"/>
      <c r="AO323" s="190"/>
      <c r="AP323" s="190"/>
      <c r="AQ323" s="190"/>
      <c r="AR323" s="190"/>
      <c r="AS323" s="190"/>
      <c r="AT323" s="201"/>
      <c r="AU323" s="190"/>
      <c r="AV323" s="202">
        <f t="shared" si="28"/>
        <v>100</v>
      </c>
      <c r="AW323" s="190">
        <v>11.452999999999999</v>
      </c>
      <c r="AX323" s="190"/>
      <c r="AY323" s="79">
        <v>0.01</v>
      </c>
      <c r="AZ323" s="65">
        <v>290</v>
      </c>
      <c r="BA323" s="78"/>
      <c r="BB323" s="65" t="s">
        <v>590</v>
      </c>
      <c r="BC323" s="65" t="s">
        <v>738</v>
      </c>
      <c r="BD323" s="65" t="s">
        <v>741</v>
      </c>
      <c r="BE323" s="65" t="s">
        <v>744</v>
      </c>
      <c r="BF323" s="79"/>
      <c r="BG323" s="65"/>
      <c r="BH323" s="78"/>
      <c r="BI323" s="65"/>
      <c r="BJ323" s="68"/>
      <c r="BK323" s="256"/>
    </row>
    <row r="324" spans="1:63" ht="23.25" customHeight="1" thickBot="1" x14ac:dyDescent="0.25">
      <c r="A324" s="62">
        <v>323</v>
      </c>
      <c r="B324" s="221">
        <v>124</v>
      </c>
      <c r="C324" s="221" t="s">
        <v>1544</v>
      </c>
      <c r="D324" s="54" t="s">
        <v>17</v>
      </c>
      <c r="E324" s="54"/>
      <c r="F324" s="16">
        <v>82.857142857142847</v>
      </c>
      <c r="G324" s="8">
        <v>10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17">
        <v>0</v>
      </c>
      <c r="T324" s="8">
        <v>7.1428571428571423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14">
        <f t="shared" si="26"/>
        <v>99.999999999999986</v>
      </c>
      <c r="AE324" s="8">
        <v>0</v>
      </c>
      <c r="AF324" s="8">
        <v>0</v>
      </c>
      <c r="AG324" s="8">
        <v>0</v>
      </c>
      <c r="AH324" s="8">
        <v>0</v>
      </c>
      <c r="AI324" s="63" t="s">
        <v>1530</v>
      </c>
      <c r="AJ324" s="7">
        <v>3</v>
      </c>
      <c r="AK324" s="62">
        <v>1323</v>
      </c>
      <c r="AL324" s="158">
        <v>97.9</v>
      </c>
      <c r="AM324" s="85">
        <v>0.2</v>
      </c>
      <c r="AN324" s="85">
        <v>1.9</v>
      </c>
      <c r="AO324" s="85"/>
      <c r="AP324" s="85"/>
      <c r="AQ324" s="85"/>
      <c r="AR324" s="85"/>
      <c r="AS324" s="85"/>
      <c r="AT324" s="205"/>
      <c r="AU324" s="85">
        <v>0</v>
      </c>
      <c r="AV324" s="196">
        <f t="shared" si="28"/>
        <v>100.00000000000001</v>
      </c>
      <c r="AW324" s="85">
        <v>11.490399999999999</v>
      </c>
      <c r="AX324" s="85"/>
      <c r="AY324" s="39">
        <v>0.05</v>
      </c>
      <c r="AZ324" s="7">
        <v>194.2</v>
      </c>
      <c r="BA324" s="62"/>
      <c r="BB324" s="7">
        <v>1.9</v>
      </c>
      <c r="BC324" s="7">
        <v>19.100000000000001</v>
      </c>
      <c r="BD324" s="7">
        <v>196.1</v>
      </c>
      <c r="BE324" s="7">
        <v>9</v>
      </c>
      <c r="BF324" s="39">
        <v>1.9</v>
      </c>
      <c r="BG324" s="7">
        <v>6.2</v>
      </c>
      <c r="BH324" s="62">
        <v>194.1</v>
      </c>
      <c r="BI324" s="7"/>
      <c r="BJ324" s="32"/>
      <c r="BK324" s="256"/>
    </row>
    <row r="325" spans="1:63" ht="23.25" customHeight="1" thickBot="1" x14ac:dyDescent="0.25">
      <c r="A325" s="7">
        <v>324</v>
      </c>
      <c r="B325" s="221"/>
      <c r="C325" s="221"/>
      <c r="D325" s="54" t="s">
        <v>106</v>
      </c>
      <c r="E325" s="54"/>
      <c r="F325" s="16">
        <v>82.142857142857139</v>
      </c>
      <c r="G325" s="8">
        <v>10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0.7142857142857143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17">
        <v>0</v>
      </c>
      <c r="T325" s="8">
        <v>7.1428571428571423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D325" s="14">
        <f t="shared" si="26"/>
        <v>99.999999999999986</v>
      </c>
      <c r="AE325" s="8">
        <v>0</v>
      </c>
      <c r="AF325" s="8">
        <v>0</v>
      </c>
      <c r="AG325" s="8">
        <v>0</v>
      </c>
      <c r="AH325" s="8">
        <v>0</v>
      </c>
      <c r="AI325" s="63" t="s">
        <v>1530</v>
      </c>
      <c r="AJ325" s="7">
        <v>3</v>
      </c>
      <c r="AK325" s="62">
        <v>1323</v>
      </c>
      <c r="AL325" s="158">
        <v>96.8</v>
      </c>
      <c r="AM325" s="85">
        <v>0.9</v>
      </c>
      <c r="AN325" s="85">
        <v>2.2999999999999998</v>
      </c>
      <c r="AO325" s="85"/>
      <c r="AP325" s="85"/>
      <c r="AQ325" s="85"/>
      <c r="AR325" s="85"/>
      <c r="AS325" s="85"/>
      <c r="AT325" s="205"/>
      <c r="AU325" s="85">
        <v>0</v>
      </c>
      <c r="AV325" s="196">
        <f t="shared" si="28"/>
        <v>100</v>
      </c>
      <c r="AW325" s="85">
        <v>11.4918</v>
      </c>
      <c r="AX325" s="85"/>
      <c r="AY325" s="39">
        <v>0.05</v>
      </c>
      <c r="AZ325" s="7">
        <v>193.6</v>
      </c>
      <c r="BA325" s="62"/>
      <c r="BB325" s="7">
        <v>1.9</v>
      </c>
      <c r="BC325" s="7">
        <v>19</v>
      </c>
      <c r="BD325" s="7">
        <v>193.5</v>
      </c>
      <c r="BE325" s="7">
        <v>8.4</v>
      </c>
      <c r="BF325" s="39">
        <v>1.9</v>
      </c>
      <c r="BG325" s="7">
        <v>4.4000000000000004</v>
      </c>
      <c r="BH325" s="62">
        <v>194.1</v>
      </c>
      <c r="BI325" s="7"/>
      <c r="BJ325" s="32"/>
      <c r="BK325" s="256"/>
    </row>
    <row r="326" spans="1:63" ht="23.25" customHeight="1" thickBot="1" x14ac:dyDescent="0.25">
      <c r="A326" s="62">
        <v>325</v>
      </c>
      <c r="B326" s="221"/>
      <c r="C326" s="221"/>
      <c r="D326" s="54" t="s">
        <v>107</v>
      </c>
      <c r="E326" s="54"/>
      <c r="F326" s="16">
        <v>81.428571428571431</v>
      </c>
      <c r="G326" s="8">
        <v>10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1.4285714285714286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17">
        <v>0</v>
      </c>
      <c r="T326" s="8">
        <v>7.1428571428571423</v>
      </c>
      <c r="U326" s="8">
        <v>0</v>
      </c>
      <c r="V326" s="8">
        <v>0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14">
        <f t="shared" si="26"/>
        <v>100</v>
      </c>
      <c r="AE326" s="8">
        <v>0</v>
      </c>
      <c r="AF326" s="8">
        <v>0</v>
      </c>
      <c r="AG326" s="8">
        <v>0</v>
      </c>
      <c r="AH326" s="8">
        <v>0</v>
      </c>
      <c r="AI326" s="63" t="s">
        <v>1530</v>
      </c>
      <c r="AJ326" s="7">
        <v>3</v>
      </c>
      <c r="AK326" s="62">
        <v>1323</v>
      </c>
      <c r="AL326" s="158">
        <v>96.2</v>
      </c>
      <c r="AM326" s="85">
        <v>3.8</v>
      </c>
      <c r="AN326" s="85">
        <v>0</v>
      </c>
      <c r="AO326" s="85"/>
      <c r="AP326" s="85"/>
      <c r="AQ326" s="85"/>
      <c r="AR326" s="85"/>
      <c r="AS326" s="85"/>
      <c r="AT326" s="205"/>
      <c r="AU326" s="85">
        <v>0</v>
      </c>
      <c r="AV326" s="196">
        <f t="shared" si="28"/>
        <v>100</v>
      </c>
      <c r="AW326" s="85">
        <v>11.488</v>
      </c>
      <c r="AX326" s="85"/>
      <c r="AY326" s="39">
        <v>0.05</v>
      </c>
      <c r="AZ326" s="7">
        <v>197.9</v>
      </c>
      <c r="BA326" s="62"/>
      <c r="BB326" s="7">
        <v>1.9</v>
      </c>
      <c r="BC326" s="7">
        <v>12</v>
      </c>
      <c r="BD326" s="7">
        <v>199</v>
      </c>
      <c r="BE326" s="7">
        <v>10.5</v>
      </c>
      <c r="BF326" s="39">
        <v>1.9</v>
      </c>
      <c r="BG326" s="7">
        <v>3.5</v>
      </c>
      <c r="BH326" s="62">
        <v>197.3</v>
      </c>
      <c r="BI326" s="7"/>
      <c r="BJ326" s="32"/>
      <c r="BK326" s="256"/>
    </row>
    <row r="327" spans="1:63" ht="23.25" customHeight="1" thickBot="1" x14ac:dyDescent="0.25">
      <c r="A327" s="7">
        <v>326</v>
      </c>
      <c r="B327" s="221"/>
      <c r="C327" s="221"/>
      <c r="D327" s="54" t="s">
        <v>108</v>
      </c>
      <c r="E327" s="54"/>
      <c r="F327" s="16">
        <v>80.714285714285708</v>
      </c>
      <c r="G327" s="8">
        <v>9.9999999999999982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2.1428571428571423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17">
        <v>0</v>
      </c>
      <c r="T327" s="8">
        <v>7.1428571428571423</v>
      </c>
      <c r="U327" s="8">
        <v>0</v>
      </c>
      <c r="V327" s="8">
        <v>0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14">
        <f t="shared" si="26"/>
        <v>99.999999999999986</v>
      </c>
      <c r="AE327" s="8">
        <v>0</v>
      </c>
      <c r="AF327" s="8">
        <v>0</v>
      </c>
      <c r="AG327" s="8">
        <v>0</v>
      </c>
      <c r="AH327" s="8">
        <v>0</v>
      </c>
      <c r="AI327" s="63" t="s">
        <v>1530</v>
      </c>
      <c r="AJ327" s="7">
        <v>3</v>
      </c>
      <c r="AK327" s="62">
        <v>1323</v>
      </c>
      <c r="AL327" s="158">
        <v>84.9</v>
      </c>
      <c r="AM327" s="85">
        <v>14.2</v>
      </c>
      <c r="AN327" s="85">
        <v>0.9</v>
      </c>
      <c r="AO327" s="85"/>
      <c r="AP327" s="85"/>
      <c r="AQ327" s="85"/>
      <c r="AR327" s="85"/>
      <c r="AS327" s="85"/>
      <c r="AT327" s="205"/>
      <c r="AU327" s="85">
        <v>0</v>
      </c>
      <c r="AV327" s="196">
        <f t="shared" si="28"/>
        <v>100.00000000000001</v>
      </c>
      <c r="AW327" s="85">
        <v>11.488</v>
      </c>
      <c r="AX327" s="85"/>
      <c r="AY327" s="39">
        <v>0.05</v>
      </c>
      <c r="AZ327" s="7">
        <v>205.4</v>
      </c>
      <c r="BA327" s="62"/>
      <c r="BB327" s="7">
        <v>1.9</v>
      </c>
      <c r="BC327" s="7">
        <v>8.4</v>
      </c>
      <c r="BD327" s="7">
        <v>203.8</v>
      </c>
      <c r="BE327" s="7">
        <v>13.7</v>
      </c>
      <c r="BF327" s="39">
        <v>1.9</v>
      </c>
      <c r="BG327" s="7">
        <v>2.7</v>
      </c>
      <c r="BH327" s="62">
        <v>204.4</v>
      </c>
      <c r="BI327" s="7"/>
      <c r="BJ327" s="32"/>
      <c r="BK327" s="256"/>
    </row>
    <row r="328" spans="1:63" ht="23.25" customHeight="1" thickBot="1" x14ac:dyDescent="0.25">
      <c r="A328" s="62">
        <v>327</v>
      </c>
      <c r="B328" s="221"/>
      <c r="C328" s="221"/>
      <c r="D328" s="54" t="s">
        <v>109</v>
      </c>
      <c r="E328" s="54"/>
      <c r="F328" s="16">
        <v>80</v>
      </c>
      <c r="G328" s="8">
        <v>10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2.8571428571428572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17">
        <v>0</v>
      </c>
      <c r="T328" s="8">
        <v>7.1428571428571423</v>
      </c>
      <c r="U328" s="8">
        <v>0</v>
      </c>
      <c r="V328" s="8">
        <v>0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0</v>
      </c>
      <c r="AD328" s="14">
        <f t="shared" si="26"/>
        <v>100</v>
      </c>
      <c r="AE328" s="8">
        <v>0</v>
      </c>
      <c r="AF328" s="8">
        <v>0</v>
      </c>
      <c r="AG328" s="8">
        <v>0</v>
      </c>
      <c r="AH328" s="8">
        <v>0</v>
      </c>
      <c r="AI328" s="63" t="s">
        <v>1530</v>
      </c>
      <c r="AJ328" s="7">
        <v>3</v>
      </c>
      <c r="AK328" s="62">
        <v>1323</v>
      </c>
      <c r="AL328" s="158">
        <v>77.599999999999994</v>
      </c>
      <c r="AM328" s="85">
        <v>21.3</v>
      </c>
      <c r="AN328" s="85">
        <v>1.1000000000000001</v>
      </c>
      <c r="AO328" s="85"/>
      <c r="AP328" s="85"/>
      <c r="AQ328" s="85"/>
      <c r="AR328" s="85"/>
      <c r="AS328" s="85"/>
      <c r="AT328" s="205"/>
      <c r="AU328" s="85">
        <v>0</v>
      </c>
      <c r="AV328" s="196">
        <f t="shared" si="28"/>
        <v>99.999999999999986</v>
      </c>
      <c r="AW328" s="85">
        <v>11.486000000000001</v>
      </c>
      <c r="AX328" s="85"/>
      <c r="AY328" s="39">
        <v>0.05</v>
      </c>
      <c r="AZ328" s="7">
        <v>214</v>
      </c>
      <c r="BA328" s="62"/>
      <c r="BB328" s="7">
        <v>1.9</v>
      </c>
      <c r="BC328" s="7">
        <v>4.3</v>
      </c>
      <c r="BD328" s="7">
        <v>213.3</v>
      </c>
      <c r="BE328" s="7">
        <v>25.1</v>
      </c>
      <c r="BF328" s="39">
        <v>1.9</v>
      </c>
      <c r="BG328" s="7">
        <v>1.8</v>
      </c>
      <c r="BH328" s="62">
        <v>214.1</v>
      </c>
      <c r="BI328" s="7"/>
      <c r="BJ328" s="32"/>
      <c r="BK328" s="256"/>
    </row>
    <row r="329" spans="1:63" s="4" customFormat="1" ht="23.25" customHeight="1" x14ac:dyDescent="0.2">
      <c r="A329" s="7">
        <v>328</v>
      </c>
      <c r="B329" s="238">
        <v>126</v>
      </c>
      <c r="C329" s="238" t="s">
        <v>1542</v>
      </c>
      <c r="D329" s="225" t="s">
        <v>110</v>
      </c>
      <c r="E329" s="12" t="s">
        <v>309</v>
      </c>
      <c r="F329" s="87">
        <v>82.142857142857139</v>
      </c>
      <c r="G329" s="88">
        <v>10.714285714285714</v>
      </c>
      <c r="H329" s="88">
        <v>0</v>
      </c>
      <c r="I329" s="88">
        <v>0</v>
      </c>
      <c r="J329" s="88">
        <v>0</v>
      </c>
      <c r="K329" s="88">
        <v>0</v>
      </c>
      <c r="L329" s="88">
        <v>0</v>
      </c>
      <c r="M329" s="88">
        <v>0</v>
      </c>
      <c r="N329" s="88">
        <v>0</v>
      </c>
      <c r="O329" s="88">
        <v>0</v>
      </c>
      <c r="P329" s="88">
        <v>0</v>
      </c>
      <c r="Q329" s="88">
        <v>0</v>
      </c>
      <c r="R329" s="88">
        <v>0</v>
      </c>
      <c r="S329" s="89">
        <v>0</v>
      </c>
      <c r="T329" s="88">
        <v>7.1428571428571423</v>
      </c>
      <c r="U329" s="88">
        <v>0</v>
      </c>
      <c r="V329" s="88">
        <v>0</v>
      </c>
      <c r="W329" s="88">
        <v>0</v>
      </c>
      <c r="X329" s="88">
        <v>0</v>
      </c>
      <c r="Y329" s="88">
        <v>0</v>
      </c>
      <c r="Z329" s="88">
        <v>0</v>
      </c>
      <c r="AA329" s="88">
        <v>0</v>
      </c>
      <c r="AB329" s="88">
        <v>0</v>
      </c>
      <c r="AC329" s="88">
        <v>0</v>
      </c>
      <c r="AD329" s="90">
        <f t="shared" si="26"/>
        <v>99.999999999999986</v>
      </c>
      <c r="AE329" s="88">
        <v>0</v>
      </c>
      <c r="AF329" s="88">
        <v>0</v>
      </c>
      <c r="AG329" s="88">
        <v>0</v>
      </c>
      <c r="AH329" s="88">
        <v>0</v>
      </c>
      <c r="AI329" s="156"/>
      <c r="AJ329" s="45"/>
      <c r="AK329" s="91"/>
      <c r="AL329" s="197"/>
      <c r="AM329" s="189"/>
      <c r="AN329" s="189"/>
      <c r="AO329" s="189"/>
      <c r="AP329" s="189"/>
      <c r="AQ329" s="189"/>
      <c r="AR329" s="189"/>
      <c r="AS329" s="189"/>
      <c r="AT329" s="198"/>
      <c r="AU329" s="189"/>
      <c r="AV329" s="199"/>
      <c r="AW329" s="189"/>
      <c r="AX329" s="189"/>
      <c r="AY329" s="156"/>
      <c r="AZ329" s="45"/>
      <c r="BA329" s="91"/>
      <c r="BB329" s="45">
        <v>5</v>
      </c>
      <c r="BC329" s="45">
        <v>24.1</v>
      </c>
      <c r="BD329" s="45">
        <v>199.1</v>
      </c>
      <c r="BE329" s="45">
        <v>21.5</v>
      </c>
      <c r="BF329" s="156"/>
      <c r="BG329" s="45"/>
      <c r="BH329" s="91"/>
      <c r="BI329" s="45"/>
      <c r="BJ329" s="67"/>
      <c r="BK329" s="12" t="s">
        <v>1770</v>
      </c>
    </row>
    <row r="330" spans="1:63" ht="23.25" customHeight="1" x14ac:dyDescent="0.2">
      <c r="A330" s="62">
        <v>329</v>
      </c>
      <c r="B330" s="221"/>
      <c r="C330" s="221"/>
      <c r="D330" s="223"/>
      <c r="E330" s="54" t="s">
        <v>313</v>
      </c>
      <c r="F330" s="16">
        <v>82.142857142857139</v>
      </c>
      <c r="G330" s="8">
        <v>10.714285714285714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17">
        <v>0</v>
      </c>
      <c r="T330" s="8">
        <v>7.1428571428571423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14">
        <f t="shared" si="26"/>
        <v>99.999999999999986</v>
      </c>
      <c r="AE330" s="8">
        <f>0.3/14*100</f>
        <v>2.1428571428571428</v>
      </c>
      <c r="AF330" s="8">
        <v>0</v>
      </c>
      <c r="AG330" s="8">
        <v>0</v>
      </c>
      <c r="AH330" s="8">
        <v>0</v>
      </c>
      <c r="AJ330" s="7"/>
      <c r="AK330" s="62"/>
      <c r="AL330" s="158"/>
      <c r="AM330" s="85"/>
      <c r="AN330" s="85"/>
      <c r="AO330" s="85"/>
      <c r="AP330" s="85"/>
      <c r="AQ330" s="85"/>
      <c r="AR330" s="85"/>
      <c r="AS330" s="85"/>
      <c r="AT330" s="205"/>
      <c r="AU330" s="85"/>
      <c r="AV330" s="196"/>
      <c r="AW330" s="85"/>
      <c r="AX330" s="85"/>
      <c r="AY330" s="39"/>
      <c r="AZ330" s="7"/>
      <c r="BA330" s="62"/>
      <c r="BB330" s="7">
        <v>5</v>
      </c>
      <c r="BC330" s="7">
        <v>17.3</v>
      </c>
      <c r="BD330" s="7">
        <v>229</v>
      </c>
      <c r="BE330" s="7">
        <v>29</v>
      </c>
      <c r="BF330" s="39"/>
      <c r="BG330" s="7"/>
      <c r="BH330" s="62"/>
      <c r="BI330" s="7"/>
      <c r="BJ330" s="32"/>
      <c r="BK330" s="59"/>
    </row>
    <row r="331" spans="1:63" ht="23.25" customHeight="1" x14ac:dyDescent="0.2">
      <c r="A331" s="7">
        <v>330</v>
      </c>
      <c r="B331" s="221"/>
      <c r="C331" s="221"/>
      <c r="D331" s="223"/>
      <c r="E331" s="54" t="s">
        <v>372</v>
      </c>
      <c r="F331" s="16">
        <v>82.142857142857139</v>
      </c>
      <c r="G331" s="8">
        <v>10.714285714285714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17">
        <v>0</v>
      </c>
      <c r="T331" s="8">
        <v>7.1428571428571423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14">
        <f t="shared" si="26"/>
        <v>99.999999999999986</v>
      </c>
      <c r="AE331" s="8">
        <f>0.6/14*100</f>
        <v>4.2857142857142856</v>
      </c>
      <c r="AF331" s="8">
        <v>0</v>
      </c>
      <c r="AG331" s="8">
        <v>0</v>
      </c>
      <c r="AH331" s="8">
        <v>0</v>
      </c>
      <c r="AJ331" s="7"/>
      <c r="AK331" s="62"/>
      <c r="AL331" s="158"/>
      <c r="AM331" s="85"/>
      <c r="AN331" s="85"/>
      <c r="AO331" s="85"/>
      <c r="AP331" s="85"/>
      <c r="AQ331" s="85"/>
      <c r="AR331" s="85"/>
      <c r="AS331" s="85"/>
      <c r="AT331" s="205"/>
      <c r="AU331" s="85"/>
      <c r="AV331" s="196"/>
      <c r="AW331" s="85"/>
      <c r="AX331" s="85"/>
      <c r="AY331" s="39"/>
      <c r="AZ331" s="7"/>
      <c r="BA331" s="62"/>
      <c r="BB331" s="7">
        <v>5</v>
      </c>
      <c r="BC331" s="7">
        <v>17.8</v>
      </c>
      <c r="BD331" s="7">
        <v>258.60000000000002</v>
      </c>
      <c r="BE331" s="7">
        <v>26.7</v>
      </c>
      <c r="BF331" s="39"/>
      <c r="BG331" s="7"/>
      <c r="BH331" s="62"/>
      <c r="BI331" s="7"/>
      <c r="BJ331" s="32"/>
      <c r="BK331" s="59"/>
    </row>
    <row r="332" spans="1:63" ht="23.25" customHeight="1" x14ac:dyDescent="0.2">
      <c r="A332" s="62">
        <v>331</v>
      </c>
      <c r="B332" s="221"/>
      <c r="C332" s="221"/>
      <c r="D332" s="223"/>
      <c r="E332" s="54" t="s">
        <v>373</v>
      </c>
      <c r="F332" s="16">
        <v>82.142857142857139</v>
      </c>
      <c r="G332" s="8">
        <v>10.714285714285714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17">
        <v>0</v>
      </c>
      <c r="T332" s="8">
        <v>7.1428571428571423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14">
        <f t="shared" si="26"/>
        <v>99.999999999999986</v>
      </c>
      <c r="AE332" s="8">
        <f>0.9/14*100</f>
        <v>6.4285714285714297</v>
      </c>
      <c r="AF332" s="8">
        <v>0</v>
      </c>
      <c r="AG332" s="8">
        <v>0</v>
      </c>
      <c r="AH332" s="8">
        <v>0</v>
      </c>
      <c r="AJ332" s="7"/>
      <c r="AK332" s="62"/>
      <c r="AL332" s="158"/>
      <c r="AM332" s="85"/>
      <c r="AN332" s="85"/>
      <c r="AO332" s="85"/>
      <c r="AP332" s="85"/>
      <c r="AQ332" s="85"/>
      <c r="AR332" s="85"/>
      <c r="AS332" s="85"/>
      <c r="AT332" s="205"/>
      <c r="AU332" s="85"/>
      <c r="AV332" s="196"/>
      <c r="AW332" s="85"/>
      <c r="AX332" s="85"/>
      <c r="AY332" s="39"/>
      <c r="AZ332" s="7"/>
      <c r="BA332" s="62"/>
      <c r="BB332" s="7">
        <v>5</v>
      </c>
      <c r="BC332" s="7">
        <v>16.5</v>
      </c>
      <c r="BD332" s="7">
        <v>272</v>
      </c>
      <c r="BE332" s="7">
        <v>29.6</v>
      </c>
      <c r="BF332" s="39"/>
      <c r="BG332" s="7"/>
      <c r="BH332" s="62"/>
      <c r="BI332" s="7"/>
      <c r="BJ332" s="32"/>
      <c r="BK332" s="59"/>
    </row>
    <row r="333" spans="1:63" ht="23.25" customHeight="1" x14ac:dyDescent="0.2">
      <c r="A333" s="7">
        <v>332</v>
      </c>
      <c r="B333" s="221"/>
      <c r="C333" s="221"/>
      <c r="D333" s="223"/>
      <c r="E333" s="54" t="s">
        <v>374</v>
      </c>
      <c r="F333" s="16">
        <v>82.142857142857139</v>
      </c>
      <c r="G333" s="8">
        <v>10.714285714285714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17">
        <v>0</v>
      </c>
      <c r="T333" s="8">
        <v>7.1428571428571423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14">
        <f t="shared" si="26"/>
        <v>99.999999999999986</v>
      </c>
      <c r="AE333" s="8">
        <f>1.3/14*100</f>
        <v>9.2857142857142865</v>
      </c>
      <c r="AF333" s="8">
        <v>0</v>
      </c>
      <c r="AG333" s="8">
        <v>0</v>
      </c>
      <c r="AH333" s="8">
        <v>0</v>
      </c>
      <c r="AJ333" s="7"/>
      <c r="AK333" s="62"/>
      <c r="AL333" s="158"/>
      <c r="AM333" s="85"/>
      <c r="AN333" s="85"/>
      <c r="AO333" s="85"/>
      <c r="AP333" s="85"/>
      <c r="AQ333" s="85"/>
      <c r="AR333" s="85"/>
      <c r="AS333" s="85"/>
      <c r="AT333" s="205"/>
      <c r="AU333" s="85"/>
      <c r="AV333" s="196"/>
      <c r="AW333" s="85"/>
      <c r="AX333" s="85"/>
      <c r="AY333" s="39"/>
      <c r="AZ333" s="7"/>
      <c r="BA333" s="62"/>
      <c r="BB333" s="7">
        <v>5</v>
      </c>
      <c r="BC333" s="7">
        <v>16.8</v>
      </c>
      <c r="BD333" s="7">
        <v>288.8</v>
      </c>
      <c r="BE333" s="7">
        <v>29.6</v>
      </c>
      <c r="BF333" s="39"/>
      <c r="BG333" s="7"/>
      <c r="BH333" s="62"/>
      <c r="BI333" s="7"/>
      <c r="BJ333" s="32"/>
      <c r="BK333" s="59"/>
    </row>
    <row r="334" spans="1:63" ht="23.25" customHeight="1" x14ac:dyDescent="0.2">
      <c r="A334" s="62">
        <v>333</v>
      </c>
      <c r="B334" s="221"/>
      <c r="C334" s="221"/>
      <c r="D334" s="223"/>
      <c r="E334" s="54" t="s">
        <v>233</v>
      </c>
      <c r="F334" s="16">
        <v>82.142857142857139</v>
      </c>
      <c r="G334" s="8">
        <v>10.714285714285714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17">
        <v>0</v>
      </c>
      <c r="T334" s="8">
        <v>7.1428571428571423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8">
        <v>0</v>
      </c>
      <c r="AA334" s="8">
        <v>0</v>
      </c>
      <c r="AB334" s="8">
        <v>0</v>
      </c>
      <c r="AC334" s="8">
        <v>0</v>
      </c>
      <c r="AD334" s="14">
        <f t="shared" si="26"/>
        <v>99.999999999999986</v>
      </c>
      <c r="AE334" s="8">
        <f>1.5/14*100</f>
        <v>10.714285714285714</v>
      </c>
      <c r="AF334" s="8">
        <v>0</v>
      </c>
      <c r="AG334" s="8">
        <v>0</v>
      </c>
      <c r="AH334" s="8">
        <v>0</v>
      </c>
      <c r="AJ334" s="7"/>
      <c r="AK334" s="62"/>
      <c r="AL334" s="158"/>
      <c r="AM334" s="85"/>
      <c r="AN334" s="85"/>
      <c r="AO334" s="85"/>
      <c r="AP334" s="85"/>
      <c r="AQ334" s="85"/>
      <c r="AR334" s="85"/>
      <c r="AS334" s="85"/>
      <c r="AT334" s="205"/>
      <c r="AU334" s="85"/>
      <c r="AV334" s="196"/>
      <c r="AW334" s="85"/>
      <c r="AX334" s="85"/>
      <c r="AY334" s="39"/>
      <c r="AZ334" s="7"/>
      <c r="BA334" s="62"/>
      <c r="BB334" s="7">
        <v>5</v>
      </c>
      <c r="BC334" s="7">
        <v>16.600000000000001</v>
      </c>
      <c r="BD334" s="7">
        <v>313</v>
      </c>
      <c r="BE334" s="7">
        <v>25.7</v>
      </c>
      <c r="BF334" s="39"/>
      <c r="BG334" s="7"/>
      <c r="BH334" s="62"/>
      <c r="BI334" s="7"/>
      <c r="BJ334" s="32"/>
      <c r="BK334" s="59"/>
    </row>
    <row r="335" spans="1:63" ht="23.25" customHeight="1" x14ac:dyDescent="0.2">
      <c r="A335" s="7">
        <v>334</v>
      </c>
      <c r="B335" s="221"/>
      <c r="C335" s="221"/>
      <c r="D335" s="223"/>
      <c r="E335" s="54" t="s">
        <v>375</v>
      </c>
      <c r="F335" s="16">
        <v>82.142857142857139</v>
      </c>
      <c r="G335" s="8">
        <v>10.714285714285714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17">
        <v>0</v>
      </c>
      <c r="T335" s="8">
        <v>7.1428571428571423</v>
      </c>
      <c r="U335" s="8">
        <v>0</v>
      </c>
      <c r="V335" s="8">
        <v>0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D335" s="14">
        <f t="shared" si="26"/>
        <v>99.999999999999986</v>
      </c>
      <c r="AE335" s="8">
        <f>1.8/14*100</f>
        <v>12.857142857142859</v>
      </c>
      <c r="AF335" s="8">
        <v>0</v>
      </c>
      <c r="AG335" s="8">
        <v>0</v>
      </c>
      <c r="AH335" s="8">
        <v>0</v>
      </c>
      <c r="AJ335" s="7"/>
      <c r="AK335" s="62"/>
      <c r="AL335" s="158"/>
      <c r="AM335" s="85"/>
      <c r="AN335" s="85"/>
      <c r="AO335" s="85"/>
      <c r="AP335" s="85"/>
      <c r="AQ335" s="85"/>
      <c r="AR335" s="85"/>
      <c r="AS335" s="85"/>
      <c r="AT335" s="205"/>
      <c r="AU335" s="85"/>
      <c r="AV335" s="196"/>
      <c r="AW335" s="85"/>
      <c r="AX335" s="85"/>
      <c r="AY335" s="39"/>
      <c r="AZ335" s="7"/>
      <c r="BA335" s="62"/>
      <c r="BB335" s="7">
        <v>5</v>
      </c>
      <c r="BC335" s="7">
        <v>20.399999999999999</v>
      </c>
      <c r="BD335" s="7">
        <v>340.9</v>
      </c>
      <c r="BE335" s="7">
        <v>21.2</v>
      </c>
      <c r="BF335" s="39"/>
      <c r="BG335" s="7"/>
      <c r="BH335" s="62"/>
      <c r="BI335" s="7"/>
      <c r="BJ335" s="32"/>
      <c r="BK335" s="59"/>
    </row>
    <row r="336" spans="1:63" ht="23.25" customHeight="1" x14ac:dyDescent="0.2">
      <c r="A336" s="62">
        <v>335</v>
      </c>
      <c r="B336" s="221"/>
      <c r="C336" s="221"/>
      <c r="D336" s="223" t="s">
        <v>357</v>
      </c>
      <c r="E336" s="54" t="s">
        <v>355</v>
      </c>
      <c r="F336" s="16">
        <v>82.735714285714195</v>
      </c>
      <c r="G336" s="8">
        <v>9.2857142857142794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0.83571428571428497</v>
      </c>
      <c r="Q336" s="8">
        <v>0</v>
      </c>
      <c r="R336" s="8">
        <v>0</v>
      </c>
      <c r="S336" s="17">
        <v>0</v>
      </c>
      <c r="T336" s="8">
        <v>7.1428571428571397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14">
        <f t="shared" si="26"/>
        <v>99.999999999999901</v>
      </c>
      <c r="AE336" s="8">
        <f>1.8*100/14</f>
        <v>12.857142857142858</v>
      </c>
      <c r="AF336" s="8">
        <v>0</v>
      </c>
      <c r="AG336" s="8">
        <v>0</v>
      </c>
      <c r="AH336" s="8">
        <v>0</v>
      </c>
      <c r="AJ336" s="7"/>
      <c r="AK336" s="62"/>
      <c r="AL336" s="158"/>
      <c r="AM336" s="85"/>
      <c r="AN336" s="85"/>
      <c r="AO336" s="85"/>
      <c r="AP336" s="85"/>
      <c r="AQ336" s="85"/>
      <c r="AR336" s="85"/>
      <c r="AS336" s="85"/>
      <c r="AT336" s="205"/>
      <c r="AU336" s="85"/>
      <c r="AV336" s="196"/>
      <c r="AW336" s="85"/>
      <c r="AX336" s="85"/>
      <c r="AY336" s="39"/>
      <c r="AZ336" s="7"/>
      <c r="BA336" s="62"/>
      <c r="BB336" s="7">
        <v>2</v>
      </c>
      <c r="BC336" s="7">
        <v>15.9</v>
      </c>
      <c r="BD336" s="7">
        <v>331.2</v>
      </c>
      <c r="BE336" s="7">
        <v>10.199999999999999</v>
      </c>
      <c r="BF336" s="39"/>
      <c r="BG336" s="7"/>
      <c r="BH336" s="62"/>
      <c r="BI336" s="7"/>
      <c r="BJ336" s="32"/>
      <c r="BK336" s="226" t="s">
        <v>1724</v>
      </c>
    </row>
    <row r="337" spans="1:63" ht="23.25" customHeight="1" x14ac:dyDescent="0.2">
      <c r="A337" s="7">
        <v>336</v>
      </c>
      <c r="B337" s="221"/>
      <c r="C337" s="221"/>
      <c r="D337" s="223"/>
      <c r="E337" s="54" t="s">
        <v>356</v>
      </c>
      <c r="F337" s="16">
        <v>81.900000000000006</v>
      </c>
      <c r="G337" s="8">
        <v>9.2857142857142794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1.6714285714285699</v>
      </c>
      <c r="Q337" s="8">
        <v>0</v>
      </c>
      <c r="R337" s="8">
        <v>0</v>
      </c>
      <c r="S337" s="17">
        <v>0</v>
      </c>
      <c r="T337" s="8">
        <v>7.1428571428571397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14">
        <f t="shared" si="26"/>
        <v>99.999999999999986</v>
      </c>
      <c r="AE337" s="8">
        <f>1.8*100/14</f>
        <v>12.857142857142858</v>
      </c>
      <c r="AF337" s="8">
        <v>0</v>
      </c>
      <c r="AG337" s="8">
        <v>0</v>
      </c>
      <c r="AH337" s="8">
        <v>0</v>
      </c>
      <c r="AJ337" s="7"/>
      <c r="AK337" s="62"/>
      <c r="AL337" s="158"/>
      <c r="AM337" s="85"/>
      <c r="AN337" s="85"/>
      <c r="AO337" s="85"/>
      <c r="AP337" s="85"/>
      <c r="AQ337" s="85"/>
      <c r="AR337" s="85"/>
      <c r="AS337" s="85"/>
      <c r="AT337" s="205"/>
      <c r="AU337" s="85"/>
      <c r="AV337" s="196"/>
      <c r="AW337" s="85"/>
      <c r="AX337" s="85"/>
      <c r="AY337" s="39"/>
      <c r="AZ337" s="7"/>
      <c r="BA337" s="62"/>
      <c r="BB337" s="7">
        <v>2</v>
      </c>
      <c r="BC337" s="7">
        <v>13</v>
      </c>
      <c r="BD337" s="7">
        <v>309</v>
      </c>
      <c r="BE337" s="7">
        <v>10.8</v>
      </c>
      <c r="BF337" s="39"/>
      <c r="BG337" s="7"/>
      <c r="BH337" s="62"/>
      <c r="BI337" s="7"/>
      <c r="BJ337" s="32"/>
      <c r="BK337" s="226"/>
    </row>
    <row r="338" spans="1:63" ht="23.25" customHeight="1" x14ac:dyDescent="0.2">
      <c r="A338" s="62">
        <v>337</v>
      </c>
      <c r="B338" s="221"/>
      <c r="C338" s="221"/>
      <c r="D338" s="223"/>
      <c r="E338" s="54" t="s">
        <v>335</v>
      </c>
      <c r="F338" s="16">
        <v>81.064285714285703</v>
      </c>
      <c r="G338" s="8">
        <v>9.2857142857142794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2.50714285714285</v>
      </c>
      <c r="Q338" s="8">
        <v>0</v>
      </c>
      <c r="R338" s="8">
        <v>0</v>
      </c>
      <c r="S338" s="17">
        <v>0</v>
      </c>
      <c r="T338" s="8">
        <v>7.1428571428571397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14">
        <f t="shared" si="26"/>
        <v>99.999999999999972</v>
      </c>
      <c r="AE338" s="8">
        <f>1.8*100/14</f>
        <v>12.857142857142858</v>
      </c>
      <c r="AF338" s="8">
        <v>0</v>
      </c>
      <c r="AG338" s="8">
        <v>0</v>
      </c>
      <c r="AH338" s="8">
        <v>0</v>
      </c>
      <c r="AJ338" s="7"/>
      <c r="AK338" s="62"/>
      <c r="AL338" s="158"/>
      <c r="AM338" s="85"/>
      <c r="AN338" s="85"/>
      <c r="AO338" s="85"/>
      <c r="AP338" s="85"/>
      <c r="AQ338" s="85"/>
      <c r="AR338" s="85"/>
      <c r="AS338" s="85"/>
      <c r="AT338" s="205"/>
      <c r="AU338" s="85"/>
      <c r="AV338" s="196"/>
      <c r="AW338" s="85"/>
      <c r="AX338" s="85"/>
      <c r="AY338" s="39"/>
      <c r="AZ338" s="7"/>
      <c r="BA338" s="62"/>
      <c r="BB338" s="7">
        <v>2</v>
      </c>
      <c r="BC338" s="7">
        <v>10.9</v>
      </c>
      <c r="BD338" s="7">
        <v>282.89999999999998</v>
      </c>
      <c r="BE338" s="7">
        <v>12.2</v>
      </c>
      <c r="BF338" s="39"/>
      <c r="BG338" s="7"/>
      <c r="BH338" s="62"/>
      <c r="BI338" s="7"/>
      <c r="BJ338" s="32"/>
      <c r="BK338" s="226"/>
    </row>
    <row r="339" spans="1:63" ht="23.25" customHeight="1" x14ac:dyDescent="0.2">
      <c r="A339" s="7">
        <v>338</v>
      </c>
      <c r="B339" s="221"/>
      <c r="C339" s="221"/>
      <c r="D339" s="223" t="s">
        <v>367</v>
      </c>
      <c r="E339" s="54" t="s">
        <v>241</v>
      </c>
      <c r="F339" s="16">
        <v>81.428571428571431</v>
      </c>
      <c r="G339" s="8">
        <v>11.428571428571429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17">
        <v>0</v>
      </c>
      <c r="T339" s="8">
        <v>3.5714285714285712</v>
      </c>
      <c r="U339" s="8">
        <v>0</v>
      </c>
      <c r="V339" s="8">
        <v>0</v>
      </c>
      <c r="W339" s="8">
        <v>3.5714285714285712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14">
        <f t="shared" si="26"/>
        <v>100</v>
      </c>
      <c r="AE339" s="8">
        <v>0</v>
      </c>
      <c r="AF339" s="8">
        <v>0</v>
      </c>
      <c r="AG339" s="8">
        <v>0</v>
      </c>
      <c r="AH339" s="8">
        <v>0</v>
      </c>
      <c r="AJ339" s="7"/>
      <c r="AK339" s="62"/>
      <c r="AL339" s="158"/>
      <c r="AM339" s="85"/>
      <c r="AN339" s="85"/>
      <c r="AO339" s="85"/>
      <c r="AP339" s="85"/>
      <c r="AQ339" s="85"/>
      <c r="AR339" s="85"/>
      <c r="AS339" s="85"/>
      <c r="AT339" s="205"/>
      <c r="AU339" s="85"/>
      <c r="AV339" s="196"/>
      <c r="AW339" s="85"/>
      <c r="AX339" s="85"/>
      <c r="AY339" s="39"/>
      <c r="AZ339" s="7"/>
      <c r="BA339" s="62"/>
      <c r="BB339" s="7" t="s">
        <v>524</v>
      </c>
      <c r="BC339" s="7" t="s">
        <v>712</v>
      </c>
      <c r="BD339" s="7" t="s">
        <v>715</v>
      </c>
      <c r="BE339" s="7" t="s">
        <v>718</v>
      </c>
      <c r="BF339" s="39"/>
      <c r="BG339" s="7"/>
      <c r="BH339" s="62"/>
      <c r="BI339" s="7"/>
      <c r="BJ339" s="32"/>
      <c r="BK339" s="59"/>
    </row>
    <row r="340" spans="1:63" ht="23.25" customHeight="1" x14ac:dyDescent="0.2">
      <c r="A340" s="62">
        <v>339</v>
      </c>
      <c r="B340" s="221"/>
      <c r="C340" s="221"/>
      <c r="D340" s="223"/>
      <c r="E340" s="54" t="s">
        <v>376</v>
      </c>
      <c r="F340" s="16">
        <v>81.428571428571431</v>
      </c>
      <c r="G340" s="8">
        <v>11.428571428571429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17">
        <v>0</v>
      </c>
      <c r="T340" s="8">
        <v>3.5714285714285712</v>
      </c>
      <c r="U340" s="8">
        <v>0</v>
      </c>
      <c r="V340" s="8">
        <v>0</v>
      </c>
      <c r="W340" s="8">
        <v>3.5714285714285712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14">
        <f t="shared" si="26"/>
        <v>100</v>
      </c>
      <c r="AE340" s="8">
        <f>0.9/14*100</f>
        <v>6.4285714285714297</v>
      </c>
      <c r="AF340" s="8">
        <v>0</v>
      </c>
      <c r="AG340" s="8">
        <v>0</v>
      </c>
      <c r="AH340" s="8">
        <v>0</v>
      </c>
      <c r="AJ340" s="7"/>
      <c r="AK340" s="62"/>
      <c r="AL340" s="158"/>
      <c r="AM340" s="85"/>
      <c r="AN340" s="85"/>
      <c r="AO340" s="85"/>
      <c r="AP340" s="85"/>
      <c r="AQ340" s="85"/>
      <c r="AR340" s="85"/>
      <c r="AS340" s="85"/>
      <c r="AT340" s="205"/>
      <c r="AU340" s="85"/>
      <c r="AV340" s="196"/>
      <c r="AW340" s="85"/>
      <c r="AX340" s="85"/>
      <c r="AY340" s="39"/>
      <c r="AZ340" s="7"/>
      <c r="BA340" s="62"/>
      <c r="BB340" s="7" t="s">
        <v>524</v>
      </c>
      <c r="BC340" s="7" t="s">
        <v>713</v>
      </c>
      <c r="BD340" s="7" t="s">
        <v>716</v>
      </c>
      <c r="BE340" s="7" t="s">
        <v>719</v>
      </c>
      <c r="BF340" s="39"/>
      <c r="BG340" s="7"/>
      <c r="BH340" s="62"/>
      <c r="BI340" s="7"/>
      <c r="BJ340" s="32"/>
      <c r="BK340" s="59"/>
    </row>
    <row r="341" spans="1:63" ht="23.25" customHeight="1" x14ac:dyDescent="0.2">
      <c r="A341" s="7">
        <v>340</v>
      </c>
      <c r="B341" s="221"/>
      <c r="C341" s="221"/>
      <c r="D341" s="223"/>
      <c r="E341" s="54" t="s">
        <v>269</v>
      </c>
      <c r="F341" s="16">
        <v>81.428571428571431</v>
      </c>
      <c r="G341" s="8">
        <v>11.428571428571429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17">
        <v>0</v>
      </c>
      <c r="T341" s="8">
        <v>3.5714285714285712</v>
      </c>
      <c r="U341" s="8">
        <v>0</v>
      </c>
      <c r="V341" s="8">
        <v>0</v>
      </c>
      <c r="W341" s="8">
        <v>3.5714285714285712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14">
        <f t="shared" si="26"/>
        <v>100</v>
      </c>
      <c r="AE341" s="8">
        <f>1.6/14*100</f>
        <v>11.428571428571429</v>
      </c>
      <c r="AF341" s="8">
        <v>0</v>
      </c>
      <c r="AG341" s="8">
        <v>0</v>
      </c>
      <c r="AH341" s="8">
        <v>0</v>
      </c>
      <c r="AJ341" s="7"/>
      <c r="AK341" s="62"/>
      <c r="AL341" s="158"/>
      <c r="AM341" s="85"/>
      <c r="AN341" s="85"/>
      <c r="AO341" s="85"/>
      <c r="AP341" s="85"/>
      <c r="AQ341" s="85"/>
      <c r="AR341" s="85"/>
      <c r="AS341" s="85"/>
      <c r="AT341" s="205"/>
      <c r="AU341" s="85"/>
      <c r="AV341" s="196"/>
      <c r="AW341" s="85"/>
      <c r="AX341" s="85"/>
      <c r="AY341" s="39"/>
      <c r="AZ341" s="7"/>
      <c r="BA341" s="62"/>
      <c r="BB341" s="7" t="s">
        <v>524</v>
      </c>
      <c r="BC341" s="7" t="s">
        <v>714</v>
      </c>
      <c r="BD341" s="7" t="s">
        <v>717</v>
      </c>
      <c r="BE341" s="7" t="s">
        <v>720</v>
      </c>
      <c r="BF341" s="39"/>
      <c r="BG341" s="7"/>
      <c r="BH341" s="62"/>
      <c r="BI341" s="7"/>
      <c r="BJ341" s="32"/>
      <c r="BK341" s="59"/>
    </row>
    <row r="342" spans="1:63" ht="23.25" customHeight="1" x14ac:dyDescent="0.2">
      <c r="A342" s="62">
        <v>341</v>
      </c>
      <c r="B342" s="221"/>
      <c r="C342" s="221"/>
      <c r="D342" s="223" t="s">
        <v>517</v>
      </c>
      <c r="E342" s="54" t="s">
        <v>334</v>
      </c>
      <c r="F342" s="16">
        <v>82.857142857142847</v>
      </c>
      <c r="G342" s="8">
        <v>10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17">
        <v>0</v>
      </c>
      <c r="T342" s="8">
        <v>7.1428571428571423</v>
      </c>
      <c r="U342" s="8">
        <v>0</v>
      </c>
      <c r="V342" s="8">
        <v>0</v>
      </c>
      <c r="W342" s="8">
        <v>0</v>
      </c>
      <c r="X342" s="8">
        <v>0</v>
      </c>
      <c r="Y342" s="8">
        <v>0</v>
      </c>
      <c r="Z342" s="8">
        <v>0</v>
      </c>
      <c r="AA342" s="8">
        <v>0</v>
      </c>
      <c r="AB342" s="8">
        <v>0</v>
      </c>
      <c r="AC342" s="8">
        <v>0</v>
      </c>
      <c r="AD342" s="14">
        <f t="shared" ref="AD342:AD396" si="29">SUM(F342:AC342)</f>
        <v>99.999999999999986</v>
      </c>
      <c r="AE342" s="8">
        <v>0</v>
      </c>
      <c r="AF342" s="8">
        <v>0</v>
      </c>
      <c r="AG342" s="8">
        <v>0</v>
      </c>
      <c r="AH342" s="8">
        <v>0</v>
      </c>
      <c r="AJ342" s="7"/>
      <c r="AK342" s="62"/>
      <c r="AL342" s="158"/>
      <c r="AM342" s="85"/>
      <c r="AN342" s="85"/>
      <c r="AO342" s="85"/>
      <c r="AP342" s="85"/>
      <c r="AQ342" s="85"/>
      <c r="AR342" s="85"/>
      <c r="AS342" s="85"/>
      <c r="AT342" s="205"/>
      <c r="AU342" s="85"/>
      <c r="AV342" s="196"/>
      <c r="AW342" s="85"/>
      <c r="AX342" s="85"/>
      <c r="AY342" s="39"/>
      <c r="AZ342" s="7"/>
      <c r="BA342" s="62"/>
      <c r="BB342" s="7">
        <v>5</v>
      </c>
      <c r="BC342" s="7">
        <v>23.9</v>
      </c>
      <c r="BD342" s="7">
        <v>200.6</v>
      </c>
      <c r="BE342" s="7">
        <v>18</v>
      </c>
      <c r="BF342" s="39"/>
      <c r="BG342" s="7"/>
      <c r="BH342" s="62"/>
      <c r="BI342" s="7"/>
      <c r="BJ342" s="32"/>
      <c r="BK342" s="59"/>
    </row>
    <row r="343" spans="1:63" ht="23.25" customHeight="1" x14ac:dyDescent="0.2">
      <c r="A343" s="7">
        <v>342</v>
      </c>
      <c r="B343" s="221"/>
      <c r="C343" s="221"/>
      <c r="D343" s="223"/>
      <c r="E343" s="54" t="s">
        <v>356</v>
      </c>
      <c r="F343" s="16">
        <v>82.857142857142847</v>
      </c>
      <c r="G343" s="8">
        <v>10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17">
        <v>0</v>
      </c>
      <c r="T343" s="8">
        <v>7.1428571428571423</v>
      </c>
      <c r="U343" s="8">
        <v>0</v>
      </c>
      <c r="V343" s="8">
        <v>0</v>
      </c>
      <c r="W343" s="8">
        <v>0</v>
      </c>
      <c r="X343" s="8">
        <v>0</v>
      </c>
      <c r="Y343" s="8">
        <v>0</v>
      </c>
      <c r="Z343" s="8">
        <v>0</v>
      </c>
      <c r="AA343" s="8">
        <v>0</v>
      </c>
      <c r="AB343" s="8">
        <v>0</v>
      </c>
      <c r="AC343" s="8">
        <v>0</v>
      </c>
      <c r="AD343" s="14">
        <f t="shared" si="29"/>
        <v>99.999999999999986</v>
      </c>
      <c r="AE343" s="8">
        <v>0</v>
      </c>
      <c r="AF343" s="8">
        <f>0.02/14*100</f>
        <v>0.14285714285714285</v>
      </c>
      <c r="AG343" s="8">
        <v>0</v>
      </c>
      <c r="AH343" s="8">
        <v>0</v>
      </c>
      <c r="AJ343" s="7"/>
      <c r="AK343" s="62"/>
      <c r="AL343" s="158"/>
      <c r="AM343" s="85"/>
      <c r="AN343" s="85"/>
      <c r="AO343" s="85"/>
      <c r="AP343" s="85"/>
      <c r="AQ343" s="85"/>
      <c r="AR343" s="85"/>
      <c r="AS343" s="85"/>
      <c r="AT343" s="205"/>
      <c r="AU343" s="85"/>
      <c r="AV343" s="196"/>
      <c r="AW343" s="85"/>
      <c r="AX343" s="85"/>
      <c r="AY343" s="39"/>
      <c r="AZ343" s="7"/>
      <c r="BA343" s="62"/>
      <c r="BB343" s="7">
        <v>5</v>
      </c>
      <c r="BC343" s="7">
        <v>24.1</v>
      </c>
      <c r="BD343" s="7">
        <v>221.8</v>
      </c>
      <c r="BE343" s="7">
        <v>18</v>
      </c>
      <c r="BF343" s="39"/>
      <c r="BG343" s="7"/>
      <c r="BH343" s="62"/>
      <c r="BI343" s="7"/>
      <c r="BJ343" s="32"/>
      <c r="BK343" s="59"/>
    </row>
    <row r="344" spans="1:63" ht="23.25" customHeight="1" x14ac:dyDescent="0.2">
      <c r="A344" s="62">
        <v>343</v>
      </c>
      <c r="B344" s="221"/>
      <c r="C344" s="221"/>
      <c r="D344" s="223"/>
      <c r="E344" s="54" t="s">
        <v>377</v>
      </c>
      <c r="F344" s="16">
        <v>82.857142857142847</v>
      </c>
      <c r="G344" s="8">
        <v>10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17">
        <v>0</v>
      </c>
      <c r="T344" s="8">
        <v>7.1428571428571423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  <c r="AD344" s="14">
        <f t="shared" si="29"/>
        <v>99.999999999999986</v>
      </c>
      <c r="AE344" s="8">
        <v>0</v>
      </c>
      <c r="AF344" s="8">
        <f>0.4/14*100</f>
        <v>2.8571428571428572</v>
      </c>
      <c r="AG344" s="8">
        <v>0</v>
      </c>
      <c r="AH344" s="8">
        <v>0</v>
      </c>
      <c r="AJ344" s="7"/>
      <c r="AK344" s="62"/>
      <c r="AL344" s="158"/>
      <c r="AM344" s="85"/>
      <c r="AN344" s="85"/>
      <c r="AO344" s="85"/>
      <c r="AP344" s="85"/>
      <c r="AQ344" s="85"/>
      <c r="AR344" s="85"/>
      <c r="AS344" s="85"/>
      <c r="AT344" s="205"/>
      <c r="AU344" s="85"/>
      <c r="AV344" s="196"/>
      <c r="AW344" s="85"/>
      <c r="AX344" s="85"/>
      <c r="AY344" s="39"/>
      <c r="AZ344" s="7"/>
      <c r="BA344" s="62"/>
      <c r="BB344" s="7">
        <v>5</v>
      </c>
      <c r="BC344" s="7">
        <v>18.2</v>
      </c>
      <c r="BD344" s="7">
        <v>239.8</v>
      </c>
      <c r="BE344" s="7">
        <v>22.2</v>
      </c>
      <c r="BF344" s="39"/>
      <c r="BG344" s="7"/>
      <c r="BH344" s="62"/>
      <c r="BI344" s="7"/>
      <c r="BJ344" s="32"/>
      <c r="BK344" s="59"/>
    </row>
    <row r="345" spans="1:63" ht="23.25" customHeight="1" x14ac:dyDescent="0.2">
      <c r="A345" s="7">
        <v>344</v>
      </c>
      <c r="B345" s="221"/>
      <c r="C345" s="221"/>
      <c r="D345" s="223"/>
      <c r="E345" s="54" t="s">
        <v>378</v>
      </c>
      <c r="F345" s="16">
        <v>82.857142857142847</v>
      </c>
      <c r="G345" s="8">
        <v>10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17">
        <v>0</v>
      </c>
      <c r="T345" s="8">
        <v>7.1428571428571423</v>
      </c>
      <c r="U345" s="8">
        <v>0</v>
      </c>
      <c r="V345" s="8">
        <v>0</v>
      </c>
      <c r="W345" s="8">
        <v>0</v>
      </c>
      <c r="X345" s="8">
        <v>0</v>
      </c>
      <c r="Y345" s="8">
        <v>0</v>
      </c>
      <c r="Z345" s="8">
        <v>0</v>
      </c>
      <c r="AA345" s="8">
        <v>0</v>
      </c>
      <c r="AB345" s="8">
        <v>0</v>
      </c>
      <c r="AC345" s="8">
        <v>0</v>
      </c>
      <c r="AD345" s="14">
        <f t="shared" si="29"/>
        <v>99.999999999999986</v>
      </c>
      <c r="AE345" s="8">
        <v>0</v>
      </c>
      <c r="AF345" s="8">
        <f>0.6/14*100</f>
        <v>4.2857142857142856</v>
      </c>
      <c r="AG345" s="8">
        <v>0</v>
      </c>
      <c r="AH345" s="8">
        <v>0</v>
      </c>
      <c r="AJ345" s="7"/>
      <c r="AK345" s="62"/>
      <c r="AL345" s="158"/>
      <c r="AM345" s="85"/>
      <c r="AN345" s="85"/>
      <c r="AO345" s="85"/>
      <c r="AP345" s="85"/>
      <c r="AQ345" s="85"/>
      <c r="AR345" s="85"/>
      <c r="AS345" s="85"/>
      <c r="AT345" s="205"/>
      <c r="AU345" s="85"/>
      <c r="AV345" s="196"/>
      <c r="AW345" s="85"/>
      <c r="AX345" s="85"/>
      <c r="AY345" s="39"/>
      <c r="AZ345" s="7"/>
      <c r="BA345" s="62"/>
      <c r="BB345" s="7">
        <v>5</v>
      </c>
      <c r="BC345" s="7">
        <v>12.1</v>
      </c>
      <c r="BD345" s="7">
        <v>251.4</v>
      </c>
      <c r="BE345" s="7">
        <v>29.4</v>
      </c>
      <c r="BF345" s="39"/>
      <c r="BG345" s="7"/>
      <c r="BH345" s="62"/>
      <c r="BI345" s="7"/>
      <c r="BJ345" s="32"/>
      <c r="BK345" s="59"/>
    </row>
    <row r="346" spans="1:63" ht="23.25" customHeight="1" x14ac:dyDescent="0.2">
      <c r="A346" s="62">
        <v>345</v>
      </c>
      <c r="B346" s="221"/>
      <c r="C346" s="221"/>
      <c r="D346" s="223" t="s">
        <v>368</v>
      </c>
      <c r="E346" s="54" t="s">
        <v>241</v>
      </c>
      <c r="F346" s="16">
        <v>82.142857142857139</v>
      </c>
      <c r="G346" s="8">
        <v>10.714285714285714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17">
        <v>0</v>
      </c>
      <c r="T346" s="8">
        <v>3.5714285714285712</v>
      </c>
      <c r="U346" s="8">
        <v>0</v>
      </c>
      <c r="V346" s="8">
        <v>0</v>
      </c>
      <c r="W346" s="8">
        <v>3.5714285714285712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14">
        <f t="shared" si="29"/>
        <v>99.999999999999986</v>
      </c>
      <c r="AE346" s="8">
        <v>0</v>
      </c>
      <c r="AF346" s="8">
        <v>0</v>
      </c>
      <c r="AG346" s="8">
        <v>0</v>
      </c>
      <c r="AH346" s="8">
        <v>0</v>
      </c>
      <c r="AJ346" s="7"/>
      <c r="AK346" s="62"/>
      <c r="AL346" s="158"/>
      <c r="AM346" s="85"/>
      <c r="AN346" s="85"/>
      <c r="AO346" s="85"/>
      <c r="AP346" s="85"/>
      <c r="AQ346" s="85"/>
      <c r="AR346" s="85"/>
      <c r="AS346" s="85"/>
      <c r="AT346" s="205"/>
      <c r="AU346" s="85"/>
      <c r="AV346" s="196"/>
      <c r="AW346" s="85"/>
      <c r="AX346" s="85"/>
      <c r="AY346" s="39"/>
      <c r="AZ346" s="7"/>
      <c r="BA346" s="62"/>
      <c r="BB346" s="7" t="s">
        <v>524</v>
      </c>
      <c r="BC346" s="7" t="s">
        <v>721</v>
      </c>
      <c r="BD346" s="7" t="s">
        <v>723</v>
      </c>
      <c r="BE346" s="7" t="s">
        <v>725</v>
      </c>
      <c r="BF346" s="39"/>
      <c r="BG346" s="7"/>
      <c r="BH346" s="62"/>
      <c r="BI346" s="7"/>
      <c r="BJ346" s="32"/>
      <c r="BK346" s="59"/>
    </row>
    <row r="347" spans="1:63" ht="23.25" customHeight="1" x14ac:dyDescent="0.2">
      <c r="A347" s="7">
        <v>346</v>
      </c>
      <c r="B347" s="221"/>
      <c r="C347" s="221"/>
      <c r="D347" s="223"/>
      <c r="E347" s="54" t="s">
        <v>242</v>
      </c>
      <c r="F347" s="16">
        <v>82.142857142857139</v>
      </c>
      <c r="G347" s="8">
        <v>10.714285714285714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  <c r="S347" s="17">
        <v>0</v>
      </c>
      <c r="T347" s="8">
        <v>3.5714285714285712</v>
      </c>
      <c r="U347" s="8">
        <v>0</v>
      </c>
      <c r="V347" s="8">
        <v>0</v>
      </c>
      <c r="W347" s="8">
        <v>3.5714285714285712</v>
      </c>
      <c r="X347" s="8">
        <v>0</v>
      </c>
      <c r="Y347" s="8">
        <v>0</v>
      </c>
      <c r="Z347" s="8">
        <v>0</v>
      </c>
      <c r="AA347" s="8">
        <v>0</v>
      </c>
      <c r="AB347" s="8">
        <v>0</v>
      </c>
      <c r="AC347" s="8">
        <v>0</v>
      </c>
      <c r="AD347" s="14">
        <f t="shared" si="29"/>
        <v>99.999999999999986</v>
      </c>
      <c r="AE347" s="8">
        <v>0</v>
      </c>
      <c r="AF347" s="8">
        <f>0.3/14*100</f>
        <v>2.1428571428571428</v>
      </c>
      <c r="AG347" s="8">
        <v>0</v>
      </c>
      <c r="AH347" s="8">
        <v>0</v>
      </c>
      <c r="AJ347" s="7"/>
      <c r="AK347" s="62"/>
      <c r="AL347" s="158"/>
      <c r="AM347" s="85"/>
      <c r="AN347" s="85"/>
      <c r="AO347" s="85"/>
      <c r="AP347" s="85"/>
      <c r="AQ347" s="85"/>
      <c r="AR347" s="85"/>
      <c r="AS347" s="85"/>
      <c r="AT347" s="205"/>
      <c r="AU347" s="85"/>
      <c r="AV347" s="196"/>
      <c r="AW347" s="85"/>
      <c r="AX347" s="85"/>
      <c r="AY347" s="39"/>
      <c r="AZ347" s="7"/>
      <c r="BA347" s="62"/>
      <c r="BB347" s="7" t="s">
        <v>524</v>
      </c>
      <c r="BC347" s="7" t="s">
        <v>722</v>
      </c>
      <c r="BD347" s="7" t="s">
        <v>724</v>
      </c>
      <c r="BE347" s="7" t="s">
        <v>726</v>
      </c>
      <c r="BF347" s="39"/>
      <c r="BG347" s="7"/>
      <c r="BH347" s="62"/>
      <c r="BI347" s="7"/>
      <c r="BJ347" s="32"/>
      <c r="BK347" s="59"/>
    </row>
    <row r="348" spans="1:63" ht="23.25" customHeight="1" x14ac:dyDescent="0.2">
      <c r="A348" s="62">
        <v>347</v>
      </c>
      <c r="B348" s="221"/>
      <c r="C348" s="221"/>
      <c r="D348" s="223" t="s">
        <v>369</v>
      </c>
      <c r="E348" s="54" t="s">
        <v>383</v>
      </c>
      <c r="F348" s="16">
        <v>82.142857142857139</v>
      </c>
      <c r="G348" s="8">
        <v>10.714285714285714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17">
        <v>0</v>
      </c>
      <c r="T348" s="8">
        <v>7.1428571428571423</v>
      </c>
      <c r="U348" s="8">
        <v>0</v>
      </c>
      <c r="V348" s="8">
        <v>0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14">
        <f t="shared" si="29"/>
        <v>99.999999999999986</v>
      </c>
      <c r="AE348" s="8">
        <v>0</v>
      </c>
      <c r="AF348" s="8">
        <v>0</v>
      </c>
      <c r="AG348" s="8">
        <v>0</v>
      </c>
      <c r="AH348" s="8">
        <v>0</v>
      </c>
      <c r="AJ348" s="7"/>
      <c r="AK348" s="62"/>
      <c r="AL348" s="158"/>
      <c r="AM348" s="85"/>
      <c r="AN348" s="85"/>
      <c r="AO348" s="85"/>
      <c r="AP348" s="85"/>
      <c r="AQ348" s="85"/>
      <c r="AR348" s="85"/>
      <c r="AS348" s="85"/>
      <c r="AT348" s="205"/>
      <c r="AU348" s="85"/>
      <c r="AV348" s="196"/>
      <c r="AW348" s="85"/>
      <c r="AX348" s="85"/>
      <c r="AY348" s="39"/>
      <c r="AZ348" s="7"/>
      <c r="BA348" s="62"/>
      <c r="BB348" s="7">
        <v>5</v>
      </c>
      <c r="BC348" s="7">
        <v>23.1</v>
      </c>
      <c r="BD348" s="7">
        <v>204.6</v>
      </c>
      <c r="BE348" s="7">
        <v>19.600000000000001</v>
      </c>
      <c r="BF348" s="39"/>
      <c r="BG348" s="7"/>
      <c r="BH348" s="62"/>
      <c r="BI348" s="7"/>
      <c r="BJ348" s="32"/>
      <c r="BK348" s="59"/>
    </row>
    <row r="349" spans="1:63" ht="23.25" customHeight="1" x14ac:dyDescent="0.2">
      <c r="A349" s="7">
        <v>348</v>
      </c>
      <c r="B349" s="221"/>
      <c r="C349" s="221"/>
      <c r="D349" s="223"/>
      <c r="E349" s="54" t="s">
        <v>382</v>
      </c>
      <c r="F349" s="16">
        <v>82.142857142857139</v>
      </c>
      <c r="G349" s="8">
        <v>10.714285714285714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17">
        <v>0</v>
      </c>
      <c r="T349" s="8">
        <v>6.4285714285714297</v>
      </c>
      <c r="U349" s="8">
        <v>0</v>
      </c>
      <c r="V349" s="8">
        <v>0.7142857142857143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14">
        <f t="shared" si="29"/>
        <v>99.999999999999986</v>
      </c>
      <c r="AE349" s="8">
        <v>0</v>
      </c>
      <c r="AF349" s="8">
        <v>0</v>
      </c>
      <c r="AG349" s="8">
        <v>0</v>
      </c>
      <c r="AH349" s="8">
        <v>0</v>
      </c>
      <c r="AJ349" s="7"/>
      <c r="AK349" s="62"/>
      <c r="AL349" s="158"/>
      <c r="AM349" s="85"/>
      <c r="AN349" s="85"/>
      <c r="AO349" s="85"/>
      <c r="AP349" s="85"/>
      <c r="AQ349" s="85"/>
      <c r="AR349" s="85"/>
      <c r="AS349" s="85"/>
      <c r="AT349" s="205"/>
      <c r="AU349" s="85"/>
      <c r="AV349" s="196"/>
      <c r="AW349" s="85"/>
      <c r="AX349" s="85"/>
      <c r="AY349" s="39"/>
      <c r="AZ349" s="7"/>
      <c r="BA349" s="62"/>
      <c r="BB349" s="7">
        <v>5</v>
      </c>
      <c r="BC349" s="7">
        <v>26.5</v>
      </c>
      <c r="BD349" s="7">
        <v>194.9</v>
      </c>
      <c r="BE349" s="7">
        <v>20</v>
      </c>
      <c r="BF349" s="39"/>
      <c r="BG349" s="7"/>
      <c r="BH349" s="62"/>
      <c r="BI349" s="7"/>
      <c r="BJ349" s="32"/>
      <c r="BK349" s="59"/>
    </row>
    <row r="350" spans="1:63" ht="23.25" customHeight="1" x14ac:dyDescent="0.2">
      <c r="A350" s="62">
        <v>349</v>
      </c>
      <c r="B350" s="221"/>
      <c r="C350" s="221"/>
      <c r="D350" s="223"/>
      <c r="E350" s="54" t="s">
        <v>381</v>
      </c>
      <c r="F350" s="16">
        <v>82.142857142857139</v>
      </c>
      <c r="G350" s="8">
        <v>10.714285714285714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17">
        <v>0</v>
      </c>
      <c r="T350" s="8">
        <v>5.7142857142857144</v>
      </c>
      <c r="U350" s="8">
        <v>0</v>
      </c>
      <c r="V350" s="8">
        <v>1.4285714285714286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  <c r="AB350" s="8">
        <v>0</v>
      </c>
      <c r="AC350" s="8">
        <v>0</v>
      </c>
      <c r="AD350" s="14">
        <f t="shared" si="29"/>
        <v>99.999999999999986</v>
      </c>
      <c r="AE350" s="8">
        <v>0</v>
      </c>
      <c r="AF350" s="8">
        <v>0</v>
      </c>
      <c r="AG350" s="8">
        <v>0</v>
      </c>
      <c r="AH350" s="8">
        <v>0</v>
      </c>
      <c r="AJ350" s="7"/>
      <c r="AK350" s="62"/>
      <c r="AL350" s="158"/>
      <c r="AM350" s="85"/>
      <c r="AN350" s="85"/>
      <c r="AO350" s="85"/>
      <c r="AP350" s="85"/>
      <c r="AQ350" s="85"/>
      <c r="AR350" s="85"/>
      <c r="AS350" s="85"/>
      <c r="AT350" s="205"/>
      <c r="AU350" s="85"/>
      <c r="AV350" s="196"/>
      <c r="AW350" s="85"/>
      <c r="AX350" s="85"/>
      <c r="AY350" s="39"/>
      <c r="AZ350" s="7"/>
      <c r="BA350" s="62"/>
      <c r="BB350" s="7">
        <v>5</v>
      </c>
      <c r="BC350" s="7">
        <v>30.2</v>
      </c>
      <c r="BD350" s="7">
        <v>186.8</v>
      </c>
      <c r="BE350" s="7">
        <v>15.2</v>
      </c>
      <c r="BF350" s="39"/>
      <c r="BG350" s="7"/>
      <c r="BH350" s="62"/>
      <c r="BI350" s="7"/>
      <c r="BJ350" s="32"/>
      <c r="BK350" s="59"/>
    </row>
    <row r="351" spans="1:63" ht="23.25" customHeight="1" x14ac:dyDescent="0.2">
      <c r="A351" s="7">
        <v>350</v>
      </c>
      <c r="B351" s="221"/>
      <c r="C351" s="221"/>
      <c r="D351" s="223"/>
      <c r="E351" s="54" t="s">
        <v>380</v>
      </c>
      <c r="F351" s="16">
        <v>82.142857142857139</v>
      </c>
      <c r="G351" s="8">
        <v>10.714285714285714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17">
        <v>0</v>
      </c>
      <c r="T351" s="8">
        <v>5.7142857142857144</v>
      </c>
      <c r="U351" s="8">
        <v>0</v>
      </c>
      <c r="V351" s="8">
        <v>1.4285714285714286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0</v>
      </c>
      <c r="AC351" s="8">
        <v>0</v>
      </c>
      <c r="AD351" s="14">
        <f t="shared" si="29"/>
        <v>99.999999999999986</v>
      </c>
      <c r="AE351" s="8">
        <v>0</v>
      </c>
      <c r="AF351" s="8">
        <f>0.2/14*100</f>
        <v>1.4285714285714286</v>
      </c>
      <c r="AG351" s="8">
        <v>0</v>
      </c>
      <c r="AH351" s="8">
        <v>0</v>
      </c>
      <c r="AJ351" s="7"/>
      <c r="AK351" s="62"/>
      <c r="AL351" s="158"/>
      <c r="AM351" s="85"/>
      <c r="AN351" s="85"/>
      <c r="AO351" s="85"/>
      <c r="AP351" s="85"/>
      <c r="AQ351" s="85"/>
      <c r="AR351" s="85"/>
      <c r="AS351" s="85"/>
      <c r="AT351" s="205"/>
      <c r="AU351" s="85"/>
      <c r="AV351" s="196"/>
      <c r="AW351" s="85"/>
      <c r="AX351" s="85"/>
      <c r="AY351" s="39"/>
      <c r="AZ351" s="7"/>
      <c r="BA351" s="62"/>
      <c r="BB351" s="7">
        <v>5</v>
      </c>
      <c r="BC351" s="7">
        <v>27.1</v>
      </c>
      <c r="BD351" s="7">
        <v>211.6</v>
      </c>
      <c r="BE351" s="7">
        <v>18.899999999999999</v>
      </c>
      <c r="BF351" s="39"/>
      <c r="BG351" s="7"/>
      <c r="BH351" s="62"/>
      <c r="BI351" s="7"/>
      <c r="BJ351" s="32"/>
      <c r="BK351" s="59"/>
    </row>
    <row r="352" spans="1:63" ht="23.25" customHeight="1" x14ac:dyDescent="0.2">
      <c r="A352" s="62">
        <v>351</v>
      </c>
      <c r="B352" s="221"/>
      <c r="C352" s="221"/>
      <c r="D352" s="223"/>
      <c r="E352" s="54" t="s">
        <v>379</v>
      </c>
      <c r="F352" s="16">
        <v>82.142857142857139</v>
      </c>
      <c r="G352" s="8">
        <v>10.714285714285714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17">
        <v>0</v>
      </c>
      <c r="T352" s="8">
        <v>5.7142857142857144</v>
      </c>
      <c r="U352" s="8">
        <v>0</v>
      </c>
      <c r="V352" s="8">
        <v>1.4285714285714286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  <c r="AB352" s="8">
        <v>0</v>
      </c>
      <c r="AC352" s="8">
        <v>0</v>
      </c>
      <c r="AD352" s="14">
        <f t="shared" si="29"/>
        <v>99.999999999999986</v>
      </c>
      <c r="AE352" s="8">
        <v>0</v>
      </c>
      <c r="AF352" s="8">
        <f>0.4/14*100</f>
        <v>2.8571428571428572</v>
      </c>
      <c r="AG352" s="8">
        <v>0</v>
      </c>
      <c r="AH352" s="8">
        <v>0</v>
      </c>
      <c r="AJ352" s="7"/>
      <c r="AK352" s="62"/>
      <c r="AL352" s="158"/>
      <c r="AM352" s="85"/>
      <c r="AN352" s="85"/>
      <c r="AO352" s="85"/>
      <c r="AP352" s="85"/>
      <c r="AQ352" s="85"/>
      <c r="AR352" s="85"/>
      <c r="AS352" s="85"/>
      <c r="AT352" s="205"/>
      <c r="AU352" s="85"/>
      <c r="AV352" s="196"/>
      <c r="AW352" s="85"/>
      <c r="AX352" s="85"/>
      <c r="AY352" s="39"/>
      <c r="AZ352" s="7"/>
      <c r="BA352" s="62"/>
      <c r="BB352" s="7">
        <v>5</v>
      </c>
      <c r="BC352" s="7">
        <v>13.3</v>
      </c>
      <c r="BD352" s="7">
        <v>246.4</v>
      </c>
      <c r="BE352" s="7">
        <v>30.4</v>
      </c>
      <c r="BF352" s="39"/>
      <c r="BG352" s="7"/>
      <c r="BH352" s="62"/>
      <c r="BI352" s="7"/>
      <c r="BJ352" s="32"/>
      <c r="BK352" s="59"/>
    </row>
    <row r="353" spans="1:63" ht="23.25" customHeight="1" x14ac:dyDescent="0.2">
      <c r="A353" s="7">
        <v>352</v>
      </c>
      <c r="B353" s="221"/>
      <c r="C353" s="221"/>
      <c r="D353" s="54" t="s">
        <v>370</v>
      </c>
      <c r="E353" s="54"/>
      <c r="F353" s="16">
        <v>83.571428571428569</v>
      </c>
      <c r="G353" s="8">
        <v>9.2857142857142865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17">
        <v>0</v>
      </c>
      <c r="T353" s="8">
        <v>7.1428571428571423</v>
      </c>
      <c r="U353" s="8">
        <v>0</v>
      </c>
      <c r="V353" s="8">
        <v>0</v>
      </c>
      <c r="W353" s="8">
        <v>0</v>
      </c>
      <c r="X353" s="8">
        <v>0</v>
      </c>
      <c r="Y353" s="8">
        <v>0</v>
      </c>
      <c r="Z353" s="8">
        <v>0</v>
      </c>
      <c r="AA353" s="8">
        <v>0</v>
      </c>
      <c r="AB353" s="8">
        <v>0</v>
      </c>
      <c r="AC353" s="8">
        <v>0</v>
      </c>
      <c r="AD353" s="14">
        <f t="shared" si="29"/>
        <v>100</v>
      </c>
      <c r="AE353" s="8">
        <v>0</v>
      </c>
      <c r="AF353" s="8">
        <v>0</v>
      </c>
      <c r="AG353" s="8">
        <v>0</v>
      </c>
      <c r="AH353" s="8">
        <v>0</v>
      </c>
      <c r="AJ353" s="7"/>
      <c r="AK353" s="62"/>
      <c r="AL353" s="158"/>
      <c r="AM353" s="85"/>
      <c r="AN353" s="85"/>
      <c r="AO353" s="85"/>
      <c r="AP353" s="85"/>
      <c r="AQ353" s="85"/>
      <c r="AR353" s="85"/>
      <c r="AS353" s="85"/>
      <c r="AT353" s="205"/>
      <c r="AU353" s="85"/>
      <c r="AV353" s="196"/>
      <c r="AW353" s="85"/>
      <c r="AX353" s="85"/>
      <c r="AY353" s="39"/>
      <c r="AZ353" s="7"/>
      <c r="BA353" s="62"/>
      <c r="BB353" s="7" t="s">
        <v>524</v>
      </c>
      <c r="BC353" s="7" t="s">
        <v>727</v>
      </c>
      <c r="BD353" s="7" t="s">
        <v>730</v>
      </c>
      <c r="BE353" s="7" t="s">
        <v>733</v>
      </c>
      <c r="BF353" s="39"/>
      <c r="BG353" s="7"/>
      <c r="BH353" s="62"/>
      <c r="BI353" s="7"/>
      <c r="BJ353" s="32"/>
      <c r="BK353" s="59"/>
    </row>
    <row r="354" spans="1:63" ht="23.25" customHeight="1" x14ac:dyDescent="0.2">
      <c r="A354" s="62">
        <v>353</v>
      </c>
      <c r="B354" s="221"/>
      <c r="C354" s="221"/>
      <c r="D354" s="54" t="s">
        <v>38</v>
      </c>
      <c r="E354" s="54"/>
      <c r="F354" s="16">
        <v>83.571428571428569</v>
      </c>
      <c r="G354" s="8">
        <v>9.2857142857142865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17">
        <v>0</v>
      </c>
      <c r="T354" s="8">
        <v>7.1428571428571423</v>
      </c>
      <c r="U354" s="8">
        <v>0</v>
      </c>
      <c r="V354" s="8">
        <v>0</v>
      </c>
      <c r="W354" s="8">
        <v>0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14">
        <f t="shared" si="29"/>
        <v>100</v>
      </c>
      <c r="AE354" s="8">
        <v>0</v>
      </c>
      <c r="AF354" s="8">
        <f>0.2/14*100</f>
        <v>1.4285714285714286</v>
      </c>
      <c r="AG354" s="8">
        <v>0</v>
      </c>
      <c r="AH354" s="8">
        <v>0</v>
      </c>
      <c r="AJ354" s="7"/>
      <c r="AK354" s="62"/>
      <c r="AL354" s="158"/>
      <c r="AM354" s="85"/>
      <c r="AN354" s="85"/>
      <c r="AO354" s="85"/>
      <c r="AP354" s="85"/>
      <c r="AQ354" s="85"/>
      <c r="AR354" s="85"/>
      <c r="AS354" s="85"/>
      <c r="AT354" s="205"/>
      <c r="AU354" s="85"/>
      <c r="AV354" s="196"/>
      <c r="AW354" s="85"/>
      <c r="AX354" s="85"/>
      <c r="AY354" s="39"/>
      <c r="AZ354" s="7"/>
      <c r="BA354" s="62"/>
      <c r="BB354" s="7" t="s">
        <v>524</v>
      </c>
      <c r="BC354" s="7" t="s">
        <v>728</v>
      </c>
      <c r="BD354" s="7" t="s">
        <v>731</v>
      </c>
      <c r="BE354" s="7" t="s">
        <v>734</v>
      </c>
      <c r="BF354" s="39"/>
      <c r="BG354" s="7"/>
      <c r="BH354" s="62"/>
      <c r="BI354" s="7"/>
      <c r="BJ354" s="32"/>
      <c r="BK354" s="59"/>
    </row>
    <row r="355" spans="1:63" s="6" customFormat="1" ht="23.25" customHeight="1" thickBot="1" x14ac:dyDescent="0.25">
      <c r="A355" s="7">
        <v>354</v>
      </c>
      <c r="B355" s="222"/>
      <c r="C355" s="222"/>
      <c r="D355" s="13" t="s">
        <v>371</v>
      </c>
      <c r="E355" s="13"/>
      <c r="F355" s="80">
        <v>83.571428571428569</v>
      </c>
      <c r="G355" s="81">
        <v>9.2857142857142865</v>
      </c>
      <c r="H355" s="81">
        <v>0</v>
      </c>
      <c r="I355" s="81">
        <v>0</v>
      </c>
      <c r="J355" s="81">
        <v>0</v>
      </c>
      <c r="K355" s="81">
        <v>0</v>
      </c>
      <c r="L355" s="81">
        <v>0</v>
      </c>
      <c r="M355" s="81">
        <v>0</v>
      </c>
      <c r="N355" s="81">
        <v>0</v>
      </c>
      <c r="O355" s="81">
        <v>0</v>
      </c>
      <c r="P355" s="81">
        <v>0</v>
      </c>
      <c r="Q355" s="81">
        <v>0</v>
      </c>
      <c r="R355" s="81">
        <v>0</v>
      </c>
      <c r="S355" s="82">
        <v>0</v>
      </c>
      <c r="T355" s="81">
        <v>7.1428571428571423</v>
      </c>
      <c r="U355" s="81">
        <v>0</v>
      </c>
      <c r="V355" s="81">
        <v>0</v>
      </c>
      <c r="W355" s="81">
        <v>0</v>
      </c>
      <c r="X355" s="81">
        <v>0</v>
      </c>
      <c r="Y355" s="81">
        <v>0</v>
      </c>
      <c r="Z355" s="81">
        <v>0</v>
      </c>
      <c r="AA355" s="81">
        <v>0</v>
      </c>
      <c r="AB355" s="81">
        <v>0</v>
      </c>
      <c r="AC355" s="81">
        <v>0</v>
      </c>
      <c r="AD355" s="83">
        <f t="shared" si="29"/>
        <v>100</v>
      </c>
      <c r="AE355" s="81">
        <f>1.7/14*100</f>
        <v>12.142857142857142</v>
      </c>
      <c r="AF355" s="81">
        <f>0.2/14*100</f>
        <v>1.4285714285714286</v>
      </c>
      <c r="AG355" s="81">
        <v>0</v>
      </c>
      <c r="AH355" s="81">
        <v>0</v>
      </c>
      <c r="AI355" s="79"/>
      <c r="AJ355" s="65"/>
      <c r="AK355" s="78"/>
      <c r="AL355" s="200"/>
      <c r="AM355" s="190"/>
      <c r="AN355" s="190"/>
      <c r="AO355" s="190"/>
      <c r="AP355" s="190"/>
      <c r="AQ355" s="190"/>
      <c r="AR355" s="190"/>
      <c r="AS355" s="190"/>
      <c r="AT355" s="201"/>
      <c r="AU355" s="190"/>
      <c r="AV355" s="202"/>
      <c r="AW355" s="190"/>
      <c r="AX355" s="190"/>
      <c r="AY355" s="79"/>
      <c r="AZ355" s="65"/>
      <c r="BA355" s="78"/>
      <c r="BB355" s="65" t="s">
        <v>524</v>
      </c>
      <c r="BC355" s="65" t="s">
        <v>729</v>
      </c>
      <c r="BD355" s="65" t="s">
        <v>732</v>
      </c>
      <c r="BE355" s="65" t="s">
        <v>735</v>
      </c>
      <c r="BF355" s="79"/>
      <c r="BG355" s="65"/>
      <c r="BH355" s="78"/>
      <c r="BI355" s="65"/>
      <c r="BJ355" s="68"/>
      <c r="BK355" s="42"/>
    </row>
    <row r="356" spans="1:63" ht="23.25" customHeight="1" thickBot="1" x14ac:dyDescent="0.25">
      <c r="A356" s="62">
        <v>355</v>
      </c>
      <c r="B356" s="221">
        <v>130</v>
      </c>
      <c r="C356" s="221" t="s">
        <v>1543</v>
      </c>
      <c r="D356" s="225" t="s">
        <v>384</v>
      </c>
      <c r="E356" s="54" t="s">
        <v>241</v>
      </c>
      <c r="F356" s="16">
        <v>82.142857142857139</v>
      </c>
      <c r="G356" s="8">
        <v>10.714285714285714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17">
        <v>0</v>
      </c>
      <c r="T356" s="8">
        <v>7.1428571428571423</v>
      </c>
      <c r="U356" s="8">
        <v>0</v>
      </c>
      <c r="V356" s="8">
        <v>0</v>
      </c>
      <c r="W356" s="8">
        <v>0</v>
      </c>
      <c r="X356" s="8">
        <v>0</v>
      </c>
      <c r="Y356" s="8">
        <v>0</v>
      </c>
      <c r="Z356" s="8">
        <v>0</v>
      </c>
      <c r="AA356" s="8">
        <v>0</v>
      </c>
      <c r="AB356" s="8">
        <v>0</v>
      </c>
      <c r="AC356" s="8">
        <v>0</v>
      </c>
      <c r="AD356" s="14">
        <f t="shared" si="29"/>
        <v>99.999999999999986</v>
      </c>
      <c r="AE356" s="8">
        <v>0</v>
      </c>
      <c r="AF356" s="8">
        <v>0</v>
      </c>
      <c r="AG356" s="8">
        <v>0</v>
      </c>
      <c r="AH356" s="8">
        <v>0</v>
      </c>
      <c r="AI356" s="39" t="s">
        <v>1529</v>
      </c>
      <c r="AJ356" s="7">
        <v>5</v>
      </c>
      <c r="AK356" s="62">
        <v>1300</v>
      </c>
      <c r="AL356" s="158"/>
      <c r="AM356" s="85"/>
      <c r="AN356" s="85"/>
      <c r="AO356" s="85"/>
      <c r="AP356" s="85"/>
      <c r="AQ356" s="85"/>
      <c r="AR356" s="85"/>
      <c r="AS356" s="85"/>
      <c r="AT356" s="205"/>
      <c r="AU356" s="85"/>
      <c r="AV356" s="196"/>
      <c r="AW356" s="85"/>
      <c r="AX356" s="85"/>
      <c r="AY356" s="39">
        <v>0.1</v>
      </c>
      <c r="AZ356" s="7">
        <v>186</v>
      </c>
      <c r="BA356" s="62"/>
      <c r="BB356" s="7">
        <v>1</v>
      </c>
      <c r="BC356" s="7">
        <v>11</v>
      </c>
      <c r="BD356" s="7">
        <v>188</v>
      </c>
      <c r="BE356" s="7">
        <v>8.1</v>
      </c>
      <c r="BF356" s="39"/>
      <c r="BG356" s="7"/>
      <c r="BH356" s="62"/>
      <c r="BI356" s="7"/>
      <c r="BJ356" s="32"/>
      <c r="BK356" s="256"/>
    </row>
    <row r="357" spans="1:63" ht="23.25" customHeight="1" thickBot="1" x14ac:dyDescent="0.25">
      <c r="A357" s="7">
        <v>356</v>
      </c>
      <c r="B357" s="221"/>
      <c r="C357" s="221"/>
      <c r="D357" s="223"/>
      <c r="E357" s="54" t="s">
        <v>242</v>
      </c>
      <c r="F357" s="16">
        <v>82.142857142857139</v>
      </c>
      <c r="G357" s="8">
        <v>10.714285714285714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17">
        <v>0</v>
      </c>
      <c r="T357" s="8">
        <v>5</v>
      </c>
      <c r="U357" s="8">
        <v>2.1428571428571428</v>
      </c>
      <c r="V357" s="8">
        <v>0</v>
      </c>
      <c r="W357" s="8">
        <v>0</v>
      </c>
      <c r="X357" s="8">
        <v>0</v>
      </c>
      <c r="Y357" s="8">
        <v>0</v>
      </c>
      <c r="Z357" s="8">
        <v>0</v>
      </c>
      <c r="AA357" s="8">
        <v>0</v>
      </c>
      <c r="AB357" s="8">
        <v>0</v>
      </c>
      <c r="AC357" s="8">
        <v>0</v>
      </c>
      <c r="AD357" s="14">
        <f t="shared" si="29"/>
        <v>99.999999999999986</v>
      </c>
      <c r="AE357" s="8">
        <v>0</v>
      </c>
      <c r="AF357" s="8">
        <v>0</v>
      </c>
      <c r="AG357" s="8">
        <v>0</v>
      </c>
      <c r="AH357" s="8">
        <v>0</v>
      </c>
      <c r="AI357" s="39" t="s">
        <v>1529</v>
      </c>
      <c r="AJ357" s="7">
        <v>5</v>
      </c>
      <c r="AK357" s="62">
        <v>1300</v>
      </c>
      <c r="AL357" s="158"/>
      <c r="AM357" s="85"/>
      <c r="AN357" s="85"/>
      <c r="AO357" s="85"/>
      <c r="AP357" s="85"/>
      <c r="AQ357" s="85"/>
      <c r="AR357" s="85"/>
      <c r="AS357" s="85"/>
      <c r="AT357" s="205"/>
      <c r="AU357" s="85"/>
      <c r="AV357" s="196"/>
      <c r="AW357" s="85"/>
      <c r="AX357" s="85"/>
      <c r="AY357" s="39">
        <v>0.1</v>
      </c>
      <c r="AZ357" s="7">
        <v>192</v>
      </c>
      <c r="BA357" s="62"/>
      <c r="BB357" s="7">
        <v>1</v>
      </c>
      <c r="BC357" s="7">
        <v>12.7</v>
      </c>
      <c r="BD357" s="7">
        <v>192</v>
      </c>
      <c r="BE357" s="7">
        <v>6.1</v>
      </c>
      <c r="BF357" s="39"/>
      <c r="BG357" s="7"/>
      <c r="BH357" s="62"/>
      <c r="BI357" s="7"/>
      <c r="BJ357" s="32"/>
      <c r="BK357" s="256"/>
    </row>
    <row r="358" spans="1:63" ht="23.25" customHeight="1" thickBot="1" x14ac:dyDescent="0.25">
      <c r="A358" s="62">
        <v>357</v>
      </c>
      <c r="B358" s="221"/>
      <c r="C358" s="221"/>
      <c r="D358" s="224"/>
      <c r="E358" s="54" t="s">
        <v>244</v>
      </c>
      <c r="F358" s="16">
        <v>82.142857142857139</v>
      </c>
      <c r="G358" s="8">
        <v>10.714285714285714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17">
        <v>0</v>
      </c>
      <c r="T358" s="8">
        <v>3.5714285714285712</v>
      </c>
      <c r="U358" s="8">
        <v>3.5714285714285712</v>
      </c>
      <c r="V358" s="8">
        <v>0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D358" s="14">
        <f t="shared" si="29"/>
        <v>99.999999999999986</v>
      </c>
      <c r="AE358" s="8">
        <v>0</v>
      </c>
      <c r="AF358" s="8">
        <v>0</v>
      </c>
      <c r="AG358" s="8">
        <v>0</v>
      </c>
      <c r="AH358" s="8">
        <v>0</v>
      </c>
      <c r="AI358" s="39" t="s">
        <v>1529</v>
      </c>
      <c r="AJ358" s="7">
        <v>5</v>
      </c>
      <c r="AK358" s="62">
        <v>1300</v>
      </c>
      <c r="AL358" s="158"/>
      <c r="AM358" s="85"/>
      <c r="AN358" s="85"/>
      <c r="AO358" s="85"/>
      <c r="AP358" s="85"/>
      <c r="AQ358" s="85"/>
      <c r="AR358" s="85"/>
      <c r="AS358" s="85"/>
      <c r="AT358" s="205"/>
      <c r="AU358" s="85"/>
      <c r="AV358" s="196"/>
      <c r="AW358" s="85"/>
      <c r="AX358" s="85"/>
      <c r="AY358" s="39">
        <v>0.1</v>
      </c>
      <c r="AZ358" s="7">
        <v>196</v>
      </c>
      <c r="BA358" s="62"/>
      <c r="BB358" s="7">
        <v>1</v>
      </c>
      <c r="BC358" s="7">
        <v>7.1</v>
      </c>
      <c r="BD358" s="7">
        <v>197</v>
      </c>
      <c r="BE358" s="7">
        <v>9.1</v>
      </c>
      <c r="BF358" s="39"/>
      <c r="BG358" s="7"/>
      <c r="BH358" s="62"/>
      <c r="BI358" s="7"/>
      <c r="BJ358" s="32"/>
      <c r="BK358" s="256"/>
    </row>
    <row r="359" spans="1:63" s="4" customFormat="1" ht="23.25" customHeight="1" thickBot="1" x14ac:dyDescent="0.25">
      <c r="A359" s="7">
        <v>358</v>
      </c>
      <c r="B359" s="238">
        <v>132</v>
      </c>
      <c r="C359" s="238" t="s">
        <v>1541</v>
      </c>
      <c r="D359" s="12" t="s">
        <v>111</v>
      </c>
      <c r="E359" s="12"/>
      <c r="F359" s="87">
        <v>79.857142857142861</v>
      </c>
      <c r="G359" s="88">
        <v>13.000000000000004</v>
      </c>
      <c r="H359" s="88">
        <v>0</v>
      </c>
      <c r="I359" s="88">
        <v>0</v>
      </c>
      <c r="J359" s="88">
        <v>0</v>
      </c>
      <c r="K359" s="88">
        <v>0</v>
      </c>
      <c r="L359" s="88">
        <v>0</v>
      </c>
      <c r="M359" s="88">
        <v>0</v>
      </c>
      <c r="N359" s="88">
        <v>0</v>
      </c>
      <c r="O359" s="88">
        <v>0</v>
      </c>
      <c r="P359" s="88">
        <v>0</v>
      </c>
      <c r="Q359" s="88">
        <v>0</v>
      </c>
      <c r="R359" s="88">
        <v>0</v>
      </c>
      <c r="S359" s="89">
        <v>0</v>
      </c>
      <c r="T359" s="88">
        <v>7.1428571428571423</v>
      </c>
      <c r="U359" s="88">
        <v>0</v>
      </c>
      <c r="V359" s="88">
        <v>0</v>
      </c>
      <c r="W359" s="88">
        <v>0</v>
      </c>
      <c r="X359" s="88">
        <v>0</v>
      </c>
      <c r="Y359" s="88">
        <v>0</v>
      </c>
      <c r="Z359" s="88">
        <v>0</v>
      </c>
      <c r="AA359" s="88">
        <v>0</v>
      </c>
      <c r="AB359" s="88">
        <v>0</v>
      </c>
      <c r="AC359" s="88">
        <v>0</v>
      </c>
      <c r="AD359" s="90">
        <f t="shared" si="29"/>
        <v>100</v>
      </c>
      <c r="AE359" s="88">
        <v>0</v>
      </c>
      <c r="AF359" s="88">
        <v>0</v>
      </c>
      <c r="AG359" s="88">
        <v>0</v>
      </c>
      <c r="AH359" s="88">
        <v>0</v>
      </c>
      <c r="AI359" s="156" t="s">
        <v>1531</v>
      </c>
      <c r="AJ359" s="45">
        <v>240</v>
      </c>
      <c r="AK359" s="91">
        <v>1323</v>
      </c>
      <c r="AL359" s="197"/>
      <c r="AM359" s="189"/>
      <c r="AN359" s="189"/>
      <c r="AO359" s="189"/>
      <c r="AP359" s="189"/>
      <c r="AQ359" s="189"/>
      <c r="AR359" s="189"/>
      <c r="AS359" s="189"/>
      <c r="AT359" s="198"/>
      <c r="AU359" s="189"/>
      <c r="AV359" s="199"/>
      <c r="AW359" s="189"/>
      <c r="AX359" s="189"/>
      <c r="AY359" s="156"/>
      <c r="AZ359" s="45"/>
      <c r="BA359" s="91"/>
      <c r="BB359" s="45">
        <v>2</v>
      </c>
      <c r="BC359" s="45">
        <v>8.9</v>
      </c>
      <c r="BD359" s="45">
        <v>215.2</v>
      </c>
      <c r="BE359" s="45">
        <v>17.899999999999999</v>
      </c>
      <c r="BF359" s="156">
        <v>2</v>
      </c>
      <c r="BG359" s="45">
        <v>3</v>
      </c>
      <c r="BH359" s="91">
        <v>215.9</v>
      </c>
      <c r="BI359" s="45"/>
      <c r="BJ359" s="67"/>
      <c r="BK359" s="256" t="s">
        <v>1771</v>
      </c>
    </row>
    <row r="360" spans="1:63" ht="23.25" customHeight="1" thickBot="1" x14ac:dyDescent="0.25">
      <c r="A360" s="62">
        <v>359</v>
      </c>
      <c r="B360" s="221"/>
      <c r="C360" s="221"/>
      <c r="D360" s="54" t="s">
        <v>28</v>
      </c>
      <c r="E360" s="54"/>
      <c r="F360" s="16">
        <v>81.714285714285708</v>
      </c>
      <c r="G360" s="8">
        <v>11.142857142857142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17">
        <v>0</v>
      </c>
      <c r="T360" s="8">
        <v>7.1428571428571423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14">
        <f t="shared" si="29"/>
        <v>99.999999999999986</v>
      </c>
      <c r="AE360" s="8">
        <v>0</v>
      </c>
      <c r="AF360" s="8">
        <v>0</v>
      </c>
      <c r="AG360" s="8">
        <v>0</v>
      </c>
      <c r="AH360" s="8">
        <v>0</v>
      </c>
      <c r="AI360" s="39" t="s">
        <v>1531</v>
      </c>
      <c r="AJ360" s="7">
        <v>240</v>
      </c>
      <c r="AK360" s="62">
        <v>1323</v>
      </c>
      <c r="AL360" s="158"/>
      <c r="AM360" s="85"/>
      <c r="AN360" s="85"/>
      <c r="AO360" s="85"/>
      <c r="AP360" s="85"/>
      <c r="AQ360" s="85"/>
      <c r="AR360" s="85"/>
      <c r="AS360" s="85"/>
      <c r="AT360" s="205"/>
      <c r="AU360" s="85"/>
      <c r="AV360" s="196"/>
      <c r="AW360" s="85"/>
      <c r="AX360" s="85"/>
      <c r="AY360" s="39"/>
      <c r="AZ360" s="7"/>
      <c r="BA360" s="62"/>
      <c r="BB360" s="7">
        <v>2</v>
      </c>
      <c r="BC360" s="7">
        <v>20.2</v>
      </c>
      <c r="BD360" s="7">
        <v>194.9</v>
      </c>
      <c r="BE360" s="7">
        <v>8.4</v>
      </c>
      <c r="BF360" s="39">
        <v>2</v>
      </c>
      <c r="BG360" s="7">
        <v>6.4</v>
      </c>
      <c r="BH360" s="62">
        <v>196.1</v>
      </c>
      <c r="BI360" s="7"/>
      <c r="BJ360" s="32"/>
      <c r="BK360" s="256"/>
    </row>
    <row r="361" spans="1:63" s="6" customFormat="1" ht="23.25" customHeight="1" thickBot="1" x14ac:dyDescent="0.25">
      <c r="A361" s="7">
        <v>360</v>
      </c>
      <c r="B361" s="222"/>
      <c r="C361" s="222"/>
      <c r="D361" s="13" t="s">
        <v>112</v>
      </c>
      <c r="E361" s="13"/>
      <c r="F361" s="80">
        <v>79.857142857142861</v>
      </c>
      <c r="G361" s="81">
        <v>13.000000000000004</v>
      </c>
      <c r="H361" s="81">
        <v>0</v>
      </c>
      <c r="I361" s="81">
        <v>0</v>
      </c>
      <c r="J361" s="81">
        <v>0</v>
      </c>
      <c r="K361" s="81">
        <v>0</v>
      </c>
      <c r="L361" s="81">
        <v>0</v>
      </c>
      <c r="M361" s="81">
        <v>0</v>
      </c>
      <c r="N361" s="81">
        <v>0</v>
      </c>
      <c r="O361" s="81">
        <v>0</v>
      </c>
      <c r="P361" s="81">
        <v>0</v>
      </c>
      <c r="Q361" s="81">
        <v>0</v>
      </c>
      <c r="R361" s="81">
        <v>0</v>
      </c>
      <c r="S361" s="82">
        <v>0</v>
      </c>
      <c r="T361" s="81">
        <v>5</v>
      </c>
      <c r="U361" s="81">
        <v>0</v>
      </c>
      <c r="V361" s="81">
        <v>2.1428571428571428</v>
      </c>
      <c r="W361" s="81">
        <v>0</v>
      </c>
      <c r="X361" s="81">
        <v>0</v>
      </c>
      <c r="Y361" s="81">
        <v>0</v>
      </c>
      <c r="Z361" s="81">
        <v>0</v>
      </c>
      <c r="AA361" s="81">
        <v>0</v>
      </c>
      <c r="AB361" s="81">
        <v>0</v>
      </c>
      <c r="AC361" s="81">
        <v>0</v>
      </c>
      <c r="AD361" s="83">
        <f t="shared" si="29"/>
        <v>100</v>
      </c>
      <c r="AE361" s="81">
        <v>0</v>
      </c>
      <c r="AF361" s="81">
        <v>0</v>
      </c>
      <c r="AG361" s="81">
        <v>0</v>
      </c>
      <c r="AH361" s="81">
        <v>0</v>
      </c>
      <c r="AI361" s="79" t="s">
        <v>1531</v>
      </c>
      <c r="AJ361" s="65">
        <v>240</v>
      </c>
      <c r="AK361" s="78">
        <v>1423</v>
      </c>
      <c r="AL361" s="200"/>
      <c r="AM361" s="190"/>
      <c r="AN361" s="190"/>
      <c r="AO361" s="190"/>
      <c r="AP361" s="190"/>
      <c r="AQ361" s="190"/>
      <c r="AR361" s="190"/>
      <c r="AS361" s="190"/>
      <c r="AT361" s="201"/>
      <c r="AU361" s="190"/>
      <c r="AV361" s="202"/>
      <c r="AW361" s="190"/>
      <c r="AX361" s="190"/>
      <c r="AY361" s="79"/>
      <c r="AZ361" s="65"/>
      <c r="BA361" s="78"/>
      <c r="BB361" s="65">
        <v>2</v>
      </c>
      <c r="BC361" s="65">
        <v>18</v>
      </c>
      <c r="BD361" s="65">
        <v>191.1</v>
      </c>
      <c r="BE361" s="65">
        <v>8.6999999999999993</v>
      </c>
      <c r="BF361" s="79">
        <v>2</v>
      </c>
      <c r="BG361" s="65">
        <v>6.4</v>
      </c>
      <c r="BH361" s="78">
        <v>189.1</v>
      </c>
      <c r="BI361" s="65"/>
      <c r="BJ361" s="68"/>
      <c r="BK361" s="256"/>
    </row>
    <row r="362" spans="1:63" ht="23.25" customHeight="1" thickBot="1" x14ac:dyDescent="0.25">
      <c r="A362" s="62">
        <v>361</v>
      </c>
      <c r="B362" s="221">
        <v>133</v>
      </c>
      <c r="C362" s="221" t="s">
        <v>1540</v>
      </c>
      <c r="D362" s="225" t="s">
        <v>113</v>
      </c>
      <c r="E362" s="54" t="s">
        <v>248</v>
      </c>
      <c r="F362" s="16">
        <f>11.6/14*100</f>
        <v>82.857142857142847</v>
      </c>
      <c r="G362" s="8">
        <f>1.4/14*100</f>
        <v>10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17">
        <v>0</v>
      </c>
      <c r="T362" s="8">
        <f>1/14*100</f>
        <v>7.1428571428571423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14">
        <f t="shared" si="29"/>
        <v>99.999999999999986</v>
      </c>
      <c r="AE362" s="8">
        <v>0</v>
      </c>
      <c r="AF362" s="8">
        <v>0</v>
      </c>
      <c r="AG362" s="8">
        <v>0</v>
      </c>
      <c r="AH362" s="8">
        <f>0.1/14*100</f>
        <v>0.7142857142857143</v>
      </c>
      <c r="AI362" s="39" t="s">
        <v>1531</v>
      </c>
      <c r="AJ362" s="7"/>
      <c r="AK362" s="62"/>
      <c r="AL362" s="158"/>
      <c r="AM362" s="85"/>
      <c r="AN362" s="85"/>
      <c r="AO362" s="85"/>
      <c r="AP362" s="85"/>
      <c r="AQ362" s="85"/>
      <c r="AR362" s="85"/>
      <c r="AS362" s="85"/>
      <c r="AT362" s="205"/>
      <c r="AU362" s="85"/>
      <c r="AV362" s="196"/>
      <c r="AW362" s="85">
        <v>11.465</v>
      </c>
      <c r="AX362" s="85"/>
      <c r="AY362" s="39">
        <v>0.02</v>
      </c>
      <c r="AZ362" s="7">
        <v>190.6</v>
      </c>
      <c r="BA362" s="62">
        <v>3.4</v>
      </c>
      <c r="BB362" s="7">
        <v>2</v>
      </c>
      <c r="BC362" s="7">
        <v>15.4</v>
      </c>
      <c r="BD362" s="7">
        <v>191.2</v>
      </c>
      <c r="BE362" s="7">
        <v>6.2</v>
      </c>
      <c r="BF362" s="39"/>
      <c r="BG362" s="7"/>
      <c r="BH362" s="62"/>
      <c r="BI362" s="7"/>
      <c r="BJ362" s="32"/>
      <c r="BK362" s="256"/>
    </row>
    <row r="363" spans="1:63" ht="23.25" customHeight="1" thickBot="1" x14ac:dyDescent="0.25">
      <c r="A363" s="7">
        <v>362</v>
      </c>
      <c r="B363" s="221"/>
      <c r="C363" s="221"/>
      <c r="D363" s="223"/>
      <c r="E363" s="54" t="s">
        <v>249</v>
      </c>
      <c r="F363" s="16">
        <v>82.857142857142847</v>
      </c>
      <c r="G363" s="8">
        <v>10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17">
        <v>0</v>
      </c>
      <c r="T363" s="8">
        <v>7.1428571428571423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14">
        <f t="shared" si="29"/>
        <v>99.999999999999986</v>
      </c>
      <c r="AE363" s="8">
        <v>0</v>
      </c>
      <c r="AF363" s="8">
        <v>0</v>
      </c>
      <c r="AG363" s="8">
        <v>0</v>
      </c>
      <c r="AH363" s="8">
        <f>0.2/14*100</f>
        <v>1.4285714285714286</v>
      </c>
      <c r="AI363" s="39" t="s">
        <v>1531</v>
      </c>
      <c r="AJ363" s="7"/>
      <c r="AK363" s="62"/>
      <c r="AL363" s="158"/>
      <c r="AM363" s="85"/>
      <c r="AN363" s="85"/>
      <c r="AO363" s="85"/>
      <c r="AP363" s="85"/>
      <c r="AQ363" s="85"/>
      <c r="AR363" s="85"/>
      <c r="AS363" s="85"/>
      <c r="AT363" s="205"/>
      <c r="AU363" s="85"/>
      <c r="AV363" s="196"/>
      <c r="AW363" s="85"/>
      <c r="AX363" s="85"/>
      <c r="AY363" s="39"/>
      <c r="AZ363" s="7"/>
      <c r="BA363" s="62"/>
      <c r="BB363" s="7"/>
      <c r="BC363" s="7"/>
      <c r="BD363" s="7"/>
      <c r="BE363" s="7"/>
      <c r="BF363" s="39"/>
      <c r="BG363" s="7"/>
      <c r="BH363" s="62"/>
      <c r="BI363" s="7"/>
      <c r="BJ363" s="32"/>
      <c r="BK363" s="256"/>
    </row>
    <row r="364" spans="1:63" ht="23.25" customHeight="1" thickBot="1" x14ac:dyDescent="0.25">
      <c r="A364" s="62">
        <v>363</v>
      </c>
      <c r="B364" s="221"/>
      <c r="C364" s="221"/>
      <c r="D364" s="223"/>
      <c r="E364" s="54" t="s">
        <v>242</v>
      </c>
      <c r="F364" s="16">
        <v>82.857142857142847</v>
      </c>
      <c r="G364" s="8">
        <v>10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17">
        <v>0</v>
      </c>
      <c r="T364" s="8">
        <v>7.1428571428571423</v>
      </c>
      <c r="U364" s="8">
        <v>0</v>
      </c>
      <c r="V364" s="8">
        <v>0</v>
      </c>
      <c r="W364" s="8">
        <v>0</v>
      </c>
      <c r="X364" s="8">
        <v>0</v>
      </c>
      <c r="Y364" s="8">
        <v>0</v>
      </c>
      <c r="Z364" s="8">
        <v>0</v>
      </c>
      <c r="AA364" s="8">
        <v>0</v>
      </c>
      <c r="AB364" s="8">
        <v>0</v>
      </c>
      <c r="AC364" s="8">
        <v>0</v>
      </c>
      <c r="AD364" s="14">
        <f t="shared" si="29"/>
        <v>99.999999999999986</v>
      </c>
      <c r="AE364" s="8">
        <v>0</v>
      </c>
      <c r="AF364" s="8">
        <v>0</v>
      </c>
      <c r="AG364" s="8">
        <v>0</v>
      </c>
      <c r="AH364" s="8">
        <f>0.3/14*100</f>
        <v>2.1428571428571428</v>
      </c>
      <c r="AI364" s="39" t="s">
        <v>1531</v>
      </c>
      <c r="AJ364" s="7"/>
      <c r="AK364" s="62"/>
      <c r="AL364" s="158"/>
      <c r="AM364" s="85"/>
      <c r="AN364" s="85"/>
      <c r="AO364" s="85"/>
      <c r="AP364" s="85"/>
      <c r="AQ364" s="85"/>
      <c r="AR364" s="85"/>
      <c r="AS364" s="85"/>
      <c r="AT364" s="205"/>
      <c r="AU364" s="85"/>
      <c r="AV364" s="196"/>
      <c r="AW364" s="85">
        <v>11.465999999999999</v>
      </c>
      <c r="AX364" s="85"/>
      <c r="AY364" s="39">
        <v>0.02</v>
      </c>
      <c r="AZ364" s="7">
        <v>193.3</v>
      </c>
      <c r="BA364" s="62">
        <v>3.2</v>
      </c>
      <c r="BB364" s="7">
        <v>2</v>
      </c>
      <c r="BC364" s="7">
        <v>13.5</v>
      </c>
      <c r="BD364" s="7">
        <v>193.1</v>
      </c>
      <c r="BE364" s="7">
        <v>7.2</v>
      </c>
      <c r="BF364" s="39"/>
      <c r="BG364" s="7"/>
      <c r="BH364" s="62"/>
      <c r="BI364" s="7"/>
      <c r="BJ364" s="32"/>
      <c r="BK364" s="256"/>
    </row>
    <row r="365" spans="1:63" ht="23.25" customHeight="1" thickBot="1" x14ac:dyDescent="0.25">
      <c r="A365" s="7">
        <v>364</v>
      </c>
      <c r="B365" s="221"/>
      <c r="C365" s="221"/>
      <c r="D365" s="223"/>
      <c r="E365" s="54" t="s">
        <v>243</v>
      </c>
      <c r="F365" s="16">
        <v>82.857142857142847</v>
      </c>
      <c r="G365" s="8">
        <v>10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17">
        <v>0</v>
      </c>
      <c r="T365" s="8">
        <v>7.1428571428571423</v>
      </c>
      <c r="U365" s="8">
        <v>0</v>
      </c>
      <c r="V365" s="8">
        <v>0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14">
        <f t="shared" si="29"/>
        <v>99.999999999999986</v>
      </c>
      <c r="AE365" s="8">
        <v>0</v>
      </c>
      <c r="AF365" s="8">
        <v>0</v>
      </c>
      <c r="AG365" s="8">
        <v>0</v>
      </c>
      <c r="AH365" s="8">
        <f>0.4/14*100</f>
        <v>2.8571428571428572</v>
      </c>
      <c r="AI365" s="39" t="s">
        <v>1531</v>
      </c>
      <c r="AJ365" s="7"/>
      <c r="AK365" s="62"/>
      <c r="AL365" s="158"/>
      <c r="AM365" s="85"/>
      <c r="AN365" s="85"/>
      <c r="AO365" s="85"/>
      <c r="AP365" s="85"/>
      <c r="AQ365" s="85"/>
      <c r="AR365" s="85"/>
      <c r="AS365" s="85"/>
      <c r="AT365" s="205"/>
      <c r="AU365" s="85"/>
      <c r="AV365" s="196"/>
      <c r="AW365" s="85"/>
      <c r="AX365" s="85"/>
      <c r="AY365" s="39"/>
      <c r="AZ365" s="7"/>
      <c r="BA365" s="62"/>
      <c r="BB365" s="7"/>
      <c r="BC365" s="7"/>
      <c r="BD365" s="7"/>
      <c r="BE365" s="7"/>
      <c r="BF365" s="39"/>
      <c r="BG365" s="7"/>
      <c r="BH365" s="62"/>
      <c r="BI365" s="7"/>
      <c r="BJ365" s="32"/>
      <c r="BK365" s="256"/>
    </row>
    <row r="366" spans="1:63" ht="23.25" customHeight="1" thickBot="1" x14ac:dyDescent="0.25">
      <c r="A366" s="62">
        <v>365</v>
      </c>
      <c r="B366" s="221"/>
      <c r="C366" s="221"/>
      <c r="D366" s="224"/>
      <c r="E366" s="54" t="s">
        <v>244</v>
      </c>
      <c r="F366" s="16">
        <v>82.857142857142847</v>
      </c>
      <c r="G366" s="8">
        <v>10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17">
        <v>0</v>
      </c>
      <c r="T366" s="8">
        <v>7.1428571428571423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  <c r="AB366" s="8">
        <v>0</v>
      </c>
      <c r="AC366" s="8">
        <v>0</v>
      </c>
      <c r="AD366" s="14">
        <f t="shared" si="29"/>
        <v>99.999999999999986</v>
      </c>
      <c r="AE366" s="8">
        <v>0</v>
      </c>
      <c r="AF366" s="8">
        <v>0</v>
      </c>
      <c r="AG366" s="8">
        <v>0</v>
      </c>
      <c r="AH366" s="8">
        <f>0.5/14*100</f>
        <v>3.5714285714285712</v>
      </c>
      <c r="AI366" s="39" t="s">
        <v>1531</v>
      </c>
      <c r="AJ366" s="7"/>
      <c r="AK366" s="62"/>
      <c r="AL366" s="158"/>
      <c r="AM366" s="85"/>
      <c r="AN366" s="85"/>
      <c r="AO366" s="85"/>
      <c r="AP366" s="85"/>
      <c r="AQ366" s="85"/>
      <c r="AR366" s="85"/>
      <c r="AS366" s="85"/>
      <c r="AT366" s="205"/>
      <c r="AU366" s="85"/>
      <c r="AV366" s="196"/>
      <c r="AW366" s="85">
        <v>11.468</v>
      </c>
      <c r="AX366" s="85"/>
      <c r="AY366" s="39">
        <v>0.02</v>
      </c>
      <c r="AZ366" s="7">
        <v>198.3</v>
      </c>
      <c r="BA366" s="62">
        <v>1.6</v>
      </c>
      <c r="BB366" s="7">
        <v>2</v>
      </c>
      <c r="BC366" s="7">
        <v>11.2</v>
      </c>
      <c r="BD366" s="7">
        <v>198.1</v>
      </c>
      <c r="BE366" s="7">
        <v>9.6</v>
      </c>
      <c r="BF366" s="39"/>
      <c r="BG366" s="7"/>
      <c r="BH366" s="62"/>
      <c r="BI366" s="7"/>
      <c r="BJ366" s="32"/>
      <c r="BK366" s="256"/>
    </row>
    <row r="367" spans="1:63" s="4" customFormat="1" ht="23.25" customHeight="1" thickBot="1" x14ac:dyDescent="0.25">
      <c r="A367" s="7">
        <v>366</v>
      </c>
      <c r="B367" s="238">
        <v>138</v>
      </c>
      <c r="C367" s="238" t="s">
        <v>1772</v>
      </c>
      <c r="D367" s="225" t="s">
        <v>392</v>
      </c>
      <c r="E367" s="12" t="s">
        <v>241</v>
      </c>
      <c r="F367" s="87">
        <v>81.428571428571431</v>
      </c>
      <c r="G367" s="88">
        <v>11.428571428571429</v>
      </c>
      <c r="H367" s="88">
        <v>0</v>
      </c>
      <c r="I367" s="88">
        <v>0</v>
      </c>
      <c r="J367" s="88">
        <v>0</v>
      </c>
      <c r="K367" s="88">
        <v>0</v>
      </c>
      <c r="L367" s="88">
        <v>0</v>
      </c>
      <c r="M367" s="88">
        <v>0</v>
      </c>
      <c r="N367" s="88">
        <v>0</v>
      </c>
      <c r="O367" s="88">
        <v>0</v>
      </c>
      <c r="P367" s="88">
        <v>0</v>
      </c>
      <c r="Q367" s="88">
        <v>0</v>
      </c>
      <c r="R367" s="88">
        <v>0</v>
      </c>
      <c r="S367" s="89">
        <v>0</v>
      </c>
      <c r="T367" s="88">
        <v>5.7142857142857144</v>
      </c>
      <c r="U367" s="88">
        <v>0</v>
      </c>
      <c r="V367" s="88">
        <v>1.4285714285714286</v>
      </c>
      <c r="W367" s="88">
        <v>0</v>
      </c>
      <c r="X367" s="88">
        <v>0</v>
      </c>
      <c r="Y367" s="88">
        <v>0</v>
      </c>
      <c r="Z367" s="88">
        <v>0</v>
      </c>
      <c r="AA367" s="88">
        <v>0</v>
      </c>
      <c r="AB367" s="88">
        <v>0</v>
      </c>
      <c r="AC367" s="88">
        <v>0</v>
      </c>
      <c r="AD367" s="90">
        <f t="shared" si="29"/>
        <v>100</v>
      </c>
      <c r="AE367" s="88">
        <v>0</v>
      </c>
      <c r="AF367" s="88">
        <v>0</v>
      </c>
      <c r="AG367" s="88">
        <v>0</v>
      </c>
      <c r="AH367" s="88">
        <v>0</v>
      </c>
      <c r="AI367" s="156" t="s">
        <v>1531</v>
      </c>
      <c r="AJ367" s="45">
        <v>50</v>
      </c>
      <c r="AK367" s="91">
        <v>1373</v>
      </c>
      <c r="AL367" s="197"/>
      <c r="AM367" s="189"/>
      <c r="AN367" s="189"/>
      <c r="AO367" s="189"/>
      <c r="AP367" s="189"/>
      <c r="AQ367" s="189"/>
      <c r="AR367" s="189"/>
      <c r="AS367" s="189"/>
      <c r="AT367" s="198"/>
      <c r="AU367" s="189"/>
      <c r="AV367" s="199"/>
      <c r="AW367" s="189"/>
      <c r="AX367" s="189"/>
      <c r="AY367" s="156">
        <v>0.05</v>
      </c>
      <c r="AZ367" s="45">
        <v>184</v>
      </c>
      <c r="BA367" s="91"/>
      <c r="BB367" s="45" t="s">
        <v>544</v>
      </c>
      <c r="BC367" s="45" t="s">
        <v>706</v>
      </c>
      <c r="BD367" s="45" t="s">
        <v>708</v>
      </c>
      <c r="BE367" s="45" t="s">
        <v>710</v>
      </c>
      <c r="BF367" s="156"/>
      <c r="BG367" s="45"/>
      <c r="BH367" s="91"/>
      <c r="BI367" s="45"/>
      <c r="BJ367" s="67"/>
      <c r="BK367" s="256" t="s">
        <v>1758</v>
      </c>
    </row>
    <row r="368" spans="1:63" ht="23.25" customHeight="1" thickBot="1" x14ac:dyDescent="0.25">
      <c r="A368" s="62">
        <v>367</v>
      </c>
      <c r="B368" s="221"/>
      <c r="C368" s="221"/>
      <c r="D368" s="223"/>
      <c r="E368" s="54" t="s">
        <v>249</v>
      </c>
      <c r="F368" s="16">
        <v>80</v>
      </c>
      <c r="G368" s="8">
        <v>11.428571428571429</v>
      </c>
      <c r="H368" s="8">
        <v>0</v>
      </c>
      <c r="I368" s="8">
        <v>0</v>
      </c>
      <c r="J368" s="8">
        <v>1.4285714285714286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17">
        <v>0</v>
      </c>
      <c r="T368" s="8">
        <v>5.7142857142857144</v>
      </c>
      <c r="U368" s="8">
        <v>0</v>
      </c>
      <c r="V368" s="8">
        <v>1.4285714285714286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14">
        <f t="shared" si="29"/>
        <v>100</v>
      </c>
      <c r="AE368" s="8">
        <v>0</v>
      </c>
      <c r="AF368" s="8">
        <v>0</v>
      </c>
      <c r="AG368" s="8">
        <v>0</v>
      </c>
      <c r="AH368" s="8">
        <v>0</v>
      </c>
      <c r="AI368" s="39" t="s">
        <v>1531</v>
      </c>
      <c r="AJ368" s="7">
        <v>50</v>
      </c>
      <c r="AK368" s="62">
        <v>1373</v>
      </c>
      <c r="AL368" s="158"/>
      <c r="AM368" s="85"/>
      <c r="AN368" s="85"/>
      <c r="AO368" s="85"/>
      <c r="AP368" s="85"/>
      <c r="AQ368" s="85"/>
      <c r="AR368" s="85"/>
      <c r="AS368" s="85"/>
      <c r="AT368" s="205"/>
      <c r="AU368" s="85"/>
      <c r="AV368" s="196"/>
      <c r="AW368" s="85"/>
      <c r="AX368" s="85"/>
      <c r="AY368" s="39">
        <v>0.05</v>
      </c>
      <c r="AZ368" s="7">
        <v>208</v>
      </c>
      <c r="BA368" s="62"/>
      <c r="BB368" s="7" t="s">
        <v>544</v>
      </c>
      <c r="BC368" s="7" t="s">
        <v>707</v>
      </c>
      <c r="BD368" s="7" t="s">
        <v>709</v>
      </c>
      <c r="BE368" s="7" t="s">
        <v>711</v>
      </c>
      <c r="BF368" s="39"/>
      <c r="BG368" s="7"/>
      <c r="BH368" s="62"/>
      <c r="BI368" s="7"/>
      <c r="BJ368" s="32"/>
      <c r="BK368" s="256"/>
    </row>
    <row r="369" spans="1:63" ht="23.25" customHeight="1" thickBot="1" x14ac:dyDescent="0.25">
      <c r="A369" s="7">
        <v>368</v>
      </c>
      <c r="B369" s="221"/>
      <c r="C369" s="221"/>
      <c r="D369" s="223"/>
      <c r="E369" s="54" t="s">
        <v>243</v>
      </c>
      <c r="F369" s="16">
        <v>78.571428571428569</v>
      </c>
      <c r="G369" s="8">
        <v>11.428571428571429</v>
      </c>
      <c r="H369" s="8">
        <v>0</v>
      </c>
      <c r="I369" s="8">
        <v>0</v>
      </c>
      <c r="J369" s="8">
        <v>2.8571428571428572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17">
        <v>0</v>
      </c>
      <c r="T369" s="8">
        <v>5.7142857142857144</v>
      </c>
      <c r="U369" s="8">
        <v>0</v>
      </c>
      <c r="V369" s="8">
        <v>1.4285714285714286</v>
      </c>
      <c r="W369" s="8">
        <v>0</v>
      </c>
      <c r="X369" s="8">
        <v>0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14">
        <f t="shared" si="29"/>
        <v>100</v>
      </c>
      <c r="AE369" s="8">
        <v>0</v>
      </c>
      <c r="AF369" s="8">
        <v>0</v>
      </c>
      <c r="AG369" s="8">
        <v>0</v>
      </c>
      <c r="AH369" s="8">
        <v>0</v>
      </c>
      <c r="AI369" s="39" t="s">
        <v>1531</v>
      </c>
      <c r="AJ369" s="7">
        <v>50</v>
      </c>
      <c r="AK369" s="62">
        <v>1373</v>
      </c>
      <c r="AL369" s="158"/>
      <c r="AM369" s="85"/>
      <c r="AN369" s="85"/>
      <c r="AO369" s="85"/>
      <c r="AP369" s="85"/>
      <c r="AQ369" s="85"/>
      <c r="AR369" s="85"/>
      <c r="AS369" s="85"/>
      <c r="AT369" s="205"/>
      <c r="AU369" s="85"/>
      <c r="AV369" s="196"/>
      <c r="AW369" s="85"/>
      <c r="AX369" s="85"/>
      <c r="AY369" s="39">
        <v>0.05</v>
      </c>
      <c r="AZ369" s="7">
        <v>224</v>
      </c>
      <c r="BA369" s="62"/>
      <c r="BB369" s="85" t="s">
        <v>625</v>
      </c>
      <c r="BC369" s="85" t="s">
        <v>1759</v>
      </c>
      <c r="BD369" s="85" t="s">
        <v>1763</v>
      </c>
      <c r="BE369" s="85" t="s">
        <v>1760</v>
      </c>
      <c r="BF369" s="39"/>
      <c r="BG369" s="7"/>
      <c r="BH369" s="62"/>
      <c r="BI369" s="7"/>
      <c r="BJ369" s="32"/>
      <c r="BK369" s="256"/>
    </row>
    <row r="370" spans="1:63" ht="23.25" customHeight="1" thickBot="1" x14ac:dyDescent="0.25">
      <c r="A370" s="62">
        <v>369</v>
      </c>
      <c r="B370" s="221"/>
      <c r="C370" s="221"/>
      <c r="D370" s="223"/>
      <c r="E370" s="54" t="s">
        <v>245</v>
      </c>
      <c r="F370" s="16">
        <v>77.142857142857153</v>
      </c>
      <c r="G370" s="8">
        <v>11.428571428571429</v>
      </c>
      <c r="H370" s="8">
        <v>0</v>
      </c>
      <c r="I370" s="8">
        <v>0</v>
      </c>
      <c r="J370" s="8">
        <v>4.2857142857142856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17">
        <v>0</v>
      </c>
      <c r="T370" s="8">
        <v>5.7142857142857144</v>
      </c>
      <c r="U370" s="8">
        <v>0</v>
      </c>
      <c r="V370" s="8">
        <v>1.4285714285714286</v>
      </c>
      <c r="W370" s="8">
        <v>0</v>
      </c>
      <c r="X370" s="8">
        <v>0</v>
      </c>
      <c r="Y370" s="8">
        <v>0</v>
      </c>
      <c r="Z370" s="8">
        <v>0</v>
      </c>
      <c r="AA370" s="8">
        <v>0</v>
      </c>
      <c r="AB370" s="8">
        <v>0</v>
      </c>
      <c r="AC370" s="8">
        <v>0</v>
      </c>
      <c r="AD370" s="14">
        <f t="shared" si="29"/>
        <v>100.00000000000001</v>
      </c>
      <c r="AE370" s="8">
        <v>0</v>
      </c>
      <c r="AF370" s="8">
        <v>0</v>
      </c>
      <c r="AG370" s="8">
        <v>0</v>
      </c>
      <c r="AH370" s="8">
        <v>0</v>
      </c>
      <c r="AI370" s="39" t="s">
        <v>1531</v>
      </c>
      <c r="AJ370" s="7">
        <v>50</v>
      </c>
      <c r="AK370" s="62">
        <v>1373</v>
      </c>
      <c r="AL370" s="158"/>
      <c r="AM370" s="85"/>
      <c r="AN370" s="85"/>
      <c r="AO370" s="85"/>
      <c r="AP370" s="85"/>
      <c r="AQ370" s="85"/>
      <c r="AR370" s="85"/>
      <c r="AS370" s="85"/>
      <c r="AT370" s="205"/>
      <c r="AU370" s="85"/>
      <c r="AV370" s="196"/>
      <c r="AW370" s="85"/>
      <c r="AX370" s="85"/>
      <c r="AY370" s="39">
        <v>0.05</v>
      </c>
      <c r="AZ370" s="7">
        <v>252</v>
      </c>
      <c r="BA370" s="62"/>
      <c r="BB370" s="85" t="s">
        <v>625</v>
      </c>
      <c r="BC370" s="85" t="s">
        <v>1760</v>
      </c>
      <c r="BD370" s="85" t="s">
        <v>1764</v>
      </c>
      <c r="BE370" s="85" t="s">
        <v>1767</v>
      </c>
      <c r="BF370" s="39"/>
      <c r="BG370" s="7"/>
      <c r="BH370" s="62"/>
      <c r="BI370" s="7"/>
      <c r="BJ370" s="32"/>
      <c r="BK370" s="256"/>
    </row>
    <row r="371" spans="1:63" ht="23.25" customHeight="1" thickBot="1" x14ac:dyDescent="0.25">
      <c r="A371" s="7">
        <v>370</v>
      </c>
      <c r="B371" s="221"/>
      <c r="C371" s="221"/>
      <c r="D371" s="223"/>
      <c r="E371" s="54" t="s">
        <v>267</v>
      </c>
      <c r="F371" s="16">
        <v>75.714285714285708</v>
      </c>
      <c r="G371" s="8">
        <v>11.428571428571429</v>
      </c>
      <c r="H371" s="8">
        <v>0</v>
      </c>
      <c r="I371" s="8">
        <v>0</v>
      </c>
      <c r="J371" s="8">
        <v>5.7142857142857144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17">
        <v>0</v>
      </c>
      <c r="T371" s="8">
        <v>5.7142857142857144</v>
      </c>
      <c r="U371" s="8">
        <v>0</v>
      </c>
      <c r="V371" s="8">
        <v>1.4285714285714286</v>
      </c>
      <c r="W371" s="8">
        <v>0</v>
      </c>
      <c r="X371" s="8">
        <v>0</v>
      </c>
      <c r="Y371" s="8">
        <v>0</v>
      </c>
      <c r="Z371" s="8">
        <v>0</v>
      </c>
      <c r="AA371" s="8">
        <v>0</v>
      </c>
      <c r="AB371" s="8">
        <v>0</v>
      </c>
      <c r="AC371" s="8">
        <v>0</v>
      </c>
      <c r="AD371" s="14">
        <f t="shared" si="29"/>
        <v>99.999999999999986</v>
      </c>
      <c r="AE371" s="8">
        <v>0</v>
      </c>
      <c r="AF371" s="8">
        <v>0</v>
      </c>
      <c r="AG371" s="8">
        <v>0</v>
      </c>
      <c r="AH371" s="8">
        <v>0</v>
      </c>
      <c r="AI371" s="39" t="s">
        <v>1531</v>
      </c>
      <c r="AJ371" s="7">
        <v>50</v>
      </c>
      <c r="AK371" s="62">
        <v>1373</v>
      </c>
      <c r="AL371" s="158"/>
      <c r="AM371" s="85"/>
      <c r="AN371" s="85"/>
      <c r="AO371" s="85"/>
      <c r="AP371" s="85"/>
      <c r="AQ371" s="85"/>
      <c r="AR371" s="85"/>
      <c r="AS371" s="85"/>
      <c r="AT371" s="205"/>
      <c r="AU371" s="85"/>
      <c r="AV371" s="196"/>
      <c r="AW371" s="85"/>
      <c r="AX371" s="85"/>
      <c r="AY371" s="39">
        <v>0.05</v>
      </c>
      <c r="AZ371" s="7">
        <v>272</v>
      </c>
      <c r="BA371" s="62"/>
      <c r="BB371" s="85" t="s">
        <v>625</v>
      </c>
      <c r="BC371" s="85" t="s">
        <v>1761</v>
      </c>
      <c r="BD371" s="85" t="s">
        <v>1765</v>
      </c>
      <c r="BE371" s="85" t="s">
        <v>1768</v>
      </c>
      <c r="BF371" s="39"/>
      <c r="BG371" s="7"/>
      <c r="BH371" s="62"/>
      <c r="BI371" s="7"/>
      <c r="BJ371" s="32"/>
      <c r="BK371" s="256"/>
    </row>
    <row r="372" spans="1:63" s="6" customFormat="1" ht="23.25" customHeight="1" thickBot="1" x14ac:dyDescent="0.25">
      <c r="A372" s="62">
        <v>371</v>
      </c>
      <c r="B372" s="222"/>
      <c r="C372" s="222"/>
      <c r="D372" s="224"/>
      <c r="E372" s="13" t="s">
        <v>272</v>
      </c>
      <c r="F372" s="80">
        <v>74.285714285714292</v>
      </c>
      <c r="G372" s="81">
        <v>11.428571428571429</v>
      </c>
      <c r="H372" s="81">
        <v>0</v>
      </c>
      <c r="I372" s="81">
        <v>0</v>
      </c>
      <c r="J372" s="81">
        <v>7.1428571428571423</v>
      </c>
      <c r="K372" s="81">
        <v>0</v>
      </c>
      <c r="L372" s="81">
        <v>0</v>
      </c>
      <c r="M372" s="81">
        <v>0</v>
      </c>
      <c r="N372" s="81">
        <v>0</v>
      </c>
      <c r="O372" s="81">
        <v>0</v>
      </c>
      <c r="P372" s="81">
        <v>0</v>
      </c>
      <c r="Q372" s="81">
        <v>0</v>
      </c>
      <c r="R372" s="81">
        <v>0</v>
      </c>
      <c r="S372" s="82">
        <v>0</v>
      </c>
      <c r="T372" s="81">
        <v>5.7142857142857144</v>
      </c>
      <c r="U372" s="81">
        <v>0</v>
      </c>
      <c r="V372" s="81">
        <v>1.4285714285714286</v>
      </c>
      <c r="W372" s="81">
        <v>0</v>
      </c>
      <c r="X372" s="81">
        <v>0</v>
      </c>
      <c r="Y372" s="81">
        <v>0</v>
      </c>
      <c r="Z372" s="81">
        <v>0</v>
      </c>
      <c r="AA372" s="81">
        <v>0</v>
      </c>
      <c r="AB372" s="81">
        <v>0</v>
      </c>
      <c r="AC372" s="81">
        <v>0</v>
      </c>
      <c r="AD372" s="83">
        <f t="shared" si="29"/>
        <v>100</v>
      </c>
      <c r="AE372" s="81">
        <v>0</v>
      </c>
      <c r="AF372" s="81">
        <v>0</v>
      </c>
      <c r="AG372" s="81">
        <v>0</v>
      </c>
      <c r="AH372" s="81">
        <v>0</v>
      </c>
      <c r="AI372" s="79" t="s">
        <v>1531</v>
      </c>
      <c r="AJ372" s="65">
        <v>50</v>
      </c>
      <c r="AK372" s="78">
        <v>1373</v>
      </c>
      <c r="AL372" s="200"/>
      <c r="AM372" s="190"/>
      <c r="AN372" s="190"/>
      <c r="AO372" s="190"/>
      <c r="AP372" s="190"/>
      <c r="AQ372" s="190"/>
      <c r="AR372" s="190"/>
      <c r="AS372" s="190"/>
      <c r="AT372" s="201"/>
      <c r="AU372" s="190"/>
      <c r="AV372" s="202"/>
      <c r="AW372" s="190"/>
      <c r="AX372" s="190"/>
      <c r="AY372" s="79">
        <v>0.05</v>
      </c>
      <c r="AZ372" s="65">
        <v>294</v>
      </c>
      <c r="BA372" s="78"/>
      <c r="BB372" s="190" t="s">
        <v>625</v>
      </c>
      <c r="BC372" s="190" t="s">
        <v>1762</v>
      </c>
      <c r="BD372" s="190" t="s">
        <v>1766</v>
      </c>
      <c r="BE372" s="190" t="s">
        <v>1769</v>
      </c>
      <c r="BF372" s="79"/>
      <c r="BG372" s="65"/>
      <c r="BH372" s="78"/>
      <c r="BI372" s="65"/>
      <c r="BJ372" s="68"/>
      <c r="BK372" s="256"/>
    </row>
    <row r="373" spans="1:63" ht="23.25" customHeight="1" thickBot="1" x14ac:dyDescent="0.25">
      <c r="A373" s="7">
        <v>372</v>
      </c>
      <c r="B373" s="238">
        <v>139</v>
      </c>
      <c r="C373" s="238" t="s">
        <v>1773</v>
      </c>
      <c r="D373" s="54" t="s">
        <v>0</v>
      </c>
      <c r="E373" s="54"/>
      <c r="F373" s="16">
        <v>81.428571428571431</v>
      </c>
      <c r="G373" s="8">
        <v>11.428571428571429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17">
        <v>0</v>
      </c>
      <c r="T373" s="8">
        <v>7.1428571428571423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0</v>
      </c>
      <c r="AA373" s="8">
        <v>0</v>
      </c>
      <c r="AB373" s="8">
        <v>0</v>
      </c>
      <c r="AC373" s="8">
        <v>0</v>
      </c>
      <c r="AD373" s="14">
        <f t="shared" si="29"/>
        <v>100</v>
      </c>
      <c r="AE373" s="8">
        <v>0</v>
      </c>
      <c r="AF373" s="8">
        <v>0</v>
      </c>
      <c r="AG373" s="8">
        <v>0</v>
      </c>
      <c r="AH373" s="8">
        <v>0</v>
      </c>
      <c r="AI373" s="39" t="s">
        <v>1530</v>
      </c>
      <c r="AJ373" s="7"/>
      <c r="AK373" s="93">
        <v>1250</v>
      </c>
      <c r="AL373" s="158"/>
      <c r="AM373" s="85"/>
      <c r="AN373" s="85"/>
      <c r="AO373" s="85"/>
      <c r="AP373" s="85"/>
      <c r="AQ373" s="85"/>
      <c r="AR373" s="85"/>
      <c r="AS373" s="85"/>
      <c r="AT373" s="205"/>
      <c r="AU373" s="85"/>
      <c r="AV373" s="196"/>
      <c r="AW373" s="85"/>
      <c r="AX373" s="85"/>
      <c r="AY373" s="39"/>
      <c r="AZ373" s="7">
        <v>195</v>
      </c>
      <c r="BA373" s="62"/>
      <c r="BB373" s="7">
        <v>5</v>
      </c>
      <c r="BC373" s="7">
        <v>18</v>
      </c>
      <c r="BD373" s="7"/>
      <c r="BE373" s="7">
        <v>18</v>
      </c>
      <c r="BF373" s="39"/>
      <c r="BG373" s="7"/>
      <c r="BH373" s="62"/>
      <c r="BI373" s="7"/>
      <c r="BJ373" s="32"/>
      <c r="BK373" s="256"/>
    </row>
    <row r="374" spans="1:63" ht="23.25" customHeight="1" thickBot="1" x14ac:dyDescent="0.25">
      <c r="A374" s="62">
        <v>373</v>
      </c>
      <c r="B374" s="221"/>
      <c r="C374" s="221"/>
      <c r="D374" s="54" t="s">
        <v>114</v>
      </c>
      <c r="E374" s="54"/>
      <c r="F374" s="16">
        <v>81.428571428571431</v>
      </c>
      <c r="G374" s="8">
        <v>11.428571428571429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17">
        <v>0</v>
      </c>
      <c r="T374" s="8">
        <v>6.7857142857142856</v>
      </c>
      <c r="U374" s="8">
        <v>0</v>
      </c>
      <c r="V374" s="8">
        <v>0</v>
      </c>
      <c r="W374" s="8">
        <v>0</v>
      </c>
      <c r="X374" s="8">
        <v>0</v>
      </c>
      <c r="Y374" s="8">
        <v>0</v>
      </c>
      <c r="Z374" s="8">
        <v>0.35714285714285715</v>
      </c>
      <c r="AA374" s="8">
        <v>0</v>
      </c>
      <c r="AB374" s="8">
        <v>0</v>
      </c>
      <c r="AC374" s="8">
        <v>0</v>
      </c>
      <c r="AD374" s="14">
        <f t="shared" si="29"/>
        <v>100.00000000000001</v>
      </c>
      <c r="AE374" s="8">
        <v>0</v>
      </c>
      <c r="AF374" s="8">
        <v>0</v>
      </c>
      <c r="AG374" s="8">
        <v>0</v>
      </c>
      <c r="AH374" s="8">
        <v>0</v>
      </c>
      <c r="AI374" s="39" t="s">
        <v>1530</v>
      </c>
      <c r="AJ374" s="7"/>
      <c r="AK374" s="93">
        <v>1250</v>
      </c>
      <c r="AL374" s="158"/>
      <c r="AM374" s="85"/>
      <c r="AN374" s="85"/>
      <c r="AO374" s="85"/>
      <c r="AP374" s="85"/>
      <c r="AQ374" s="85"/>
      <c r="AR374" s="85"/>
      <c r="AS374" s="85"/>
      <c r="AT374" s="205"/>
      <c r="AU374" s="85"/>
      <c r="AV374" s="196"/>
      <c r="AW374" s="85"/>
      <c r="AX374" s="85"/>
      <c r="AY374" s="39"/>
      <c r="AZ374" s="7">
        <v>215</v>
      </c>
      <c r="BA374" s="62"/>
      <c r="BB374" s="7">
        <v>5</v>
      </c>
      <c r="BC374" s="7">
        <v>7</v>
      </c>
      <c r="BD374" s="7"/>
      <c r="BE374" s="7">
        <v>30</v>
      </c>
      <c r="BF374" s="39"/>
      <c r="BG374" s="7"/>
      <c r="BH374" s="62"/>
      <c r="BI374" s="7"/>
      <c r="BJ374" s="32"/>
      <c r="BK374" s="256"/>
    </row>
    <row r="375" spans="1:63" ht="23.25" customHeight="1" thickBot="1" x14ac:dyDescent="0.25">
      <c r="A375" s="7">
        <v>374</v>
      </c>
      <c r="B375" s="221"/>
      <c r="C375" s="221"/>
      <c r="D375" s="54" t="s">
        <v>115</v>
      </c>
      <c r="E375" s="54"/>
      <c r="F375" s="16">
        <v>81.428571428571431</v>
      </c>
      <c r="G375" s="8">
        <v>11.428571428571429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17">
        <v>0</v>
      </c>
      <c r="T375" s="8">
        <v>6.7857142857142856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0.35714285714285715</v>
      </c>
      <c r="AB375" s="8">
        <v>0</v>
      </c>
      <c r="AC375" s="8">
        <v>0</v>
      </c>
      <c r="AD375" s="14">
        <f t="shared" si="29"/>
        <v>100.00000000000001</v>
      </c>
      <c r="AE375" s="8">
        <v>0</v>
      </c>
      <c r="AF375" s="8">
        <v>0</v>
      </c>
      <c r="AG375" s="8">
        <v>0</v>
      </c>
      <c r="AH375" s="8">
        <v>0</v>
      </c>
      <c r="AI375" s="39" t="s">
        <v>1530</v>
      </c>
      <c r="AJ375" s="7"/>
      <c r="AK375" s="93">
        <v>1250</v>
      </c>
      <c r="AL375" s="158"/>
      <c r="AM375" s="85"/>
      <c r="AN375" s="85"/>
      <c r="AO375" s="85"/>
      <c r="AP375" s="85"/>
      <c r="AQ375" s="85"/>
      <c r="AR375" s="85"/>
      <c r="AS375" s="85"/>
      <c r="AT375" s="205"/>
      <c r="AU375" s="85"/>
      <c r="AV375" s="196"/>
      <c r="AW375" s="85"/>
      <c r="AX375" s="85"/>
      <c r="AY375" s="39"/>
      <c r="AZ375" s="7">
        <v>226</v>
      </c>
      <c r="BA375" s="62"/>
      <c r="BB375" s="7">
        <v>5</v>
      </c>
      <c r="BC375" s="7">
        <v>18</v>
      </c>
      <c r="BD375" s="7"/>
      <c r="BE375" s="7">
        <v>30</v>
      </c>
      <c r="BF375" s="39"/>
      <c r="BG375" s="7"/>
      <c r="BH375" s="62"/>
      <c r="BI375" s="7"/>
      <c r="BJ375" s="32"/>
      <c r="BK375" s="256"/>
    </row>
    <row r="376" spans="1:63" s="4" customFormat="1" ht="23.25" customHeight="1" thickBot="1" x14ac:dyDescent="0.25">
      <c r="A376" s="62">
        <v>375</v>
      </c>
      <c r="B376" s="238">
        <v>140</v>
      </c>
      <c r="C376" s="238" t="s">
        <v>1774</v>
      </c>
      <c r="D376" s="225" t="s">
        <v>391</v>
      </c>
      <c r="E376" s="12" t="s">
        <v>334</v>
      </c>
      <c r="F376" s="87">
        <v>82.857142857142847</v>
      </c>
      <c r="G376" s="88">
        <v>10</v>
      </c>
      <c r="H376" s="88">
        <v>0</v>
      </c>
      <c r="I376" s="88">
        <v>0</v>
      </c>
      <c r="J376" s="88">
        <v>0</v>
      </c>
      <c r="K376" s="88">
        <v>0</v>
      </c>
      <c r="L376" s="88">
        <v>0</v>
      </c>
      <c r="M376" s="88">
        <v>0</v>
      </c>
      <c r="N376" s="88">
        <v>0</v>
      </c>
      <c r="O376" s="88">
        <v>0</v>
      </c>
      <c r="P376" s="88">
        <v>0</v>
      </c>
      <c r="Q376" s="88">
        <v>0</v>
      </c>
      <c r="R376" s="88">
        <v>0</v>
      </c>
      <c r="S376" s="89">
        <v>0</v>
      </c>
      <c r="T376" s="88">
        <v>7.1428571428571423</v>
      </c>
      <c r="U376" s="88">
        <v>0</v>
      </c>
      <c r="V376" s="88">
        <v>0</v>
      </c>
      <c r="W376" s="88">
        <v>0</v>
      </c>
      <c r="X376" s="88">
        <v>0</v>
      </c>
      <c r="Y376" s="88">
        <v>0</v>
      </c>
      <c r="Z376" s="88">
        <v>0</v>
      </c>
      <c r="AA376" s="88">
        <v>0</v>
      </c>
      <c r="AB376" s="88">
        <v>0</v>
      </c>
      <c r="AC376" s="88">
        <v>0</v>
      </c>
      <c r="AD376" s="90">
        <f t="shared" si="29"/>
        <v>99.999999999999986</v>
      </c>
      <c r="AE376" s="88">
        <v>0</v>
      </c>
      <c r="AF376" s="88">
        <v>0</v>
      </c>
      <c r="AG376" s="88">
        <v>0</v>
      </c>
      <c r="AH376" s="88">
        <v>0</v>
      </c>
      <c r="AI376" s="159" t="s">
        <v>1530</v>
      </c>
      <c r="AJ376" s="45">
        <v>48</v>
      </c>
      <c r="AK376" s="91"/>
      <c r="AL376" s="197">
        <v>100</v>
      </c>
      <c r="AM376" s="189">
        <v>0</v>
      </c>
      <c r="AN376" s="189"/>
      <c r="AO376" s="189"/>
      <c r="AP376" s="189"/>
      <c r="AQ376" s="189"/>
      <c r="AR376" s="189"/>
      <c r="AS376" s="189"/>
      <c r="AT376" s="198"/>
      <c r="AU376" s="189">
        <v>0</v>
      </c>
      <c r="AV376" s="199">
        <f t="shared" ref="AV376:AV388" si="30">SUM(AL376:AT376)</f>
        <v>100</v>
      </c>
      <c r="AW376" s="189">
        <v>11.478</v>
      </c>
      <c r="AX376" s="189"/>
      <c r="AY376" s="156">
        <v>0.05</v>
      </c>
      <c r="AZ376" s="45">
        <v>188.3</v>
      </c>
      <c r="BA376" s="91">
        <v>1.9</v>
      </c>
      <c r="BB376" s="45">
        <v>1.9</v>
      </c>
      <c r="BC376" s="45">
        <v>22.4</v>
      </c>
      <c r="BD376" s="45">
        <v>191.1</v>
      </c>
      <c r="BE376" s="45">
        <v>9.3000000000000007</v>
      </c>
      <c r="BF376" s="156">
        <v>1.9</v>
      </c>
      <c r="BG376" s="45">
        <v>6.9</v>
      </c>
      <c r="BH376" s="91">
        <v>188.1</v>
      </c>
      <c r="BI376" s="45"/>
      <c r="BJ376" s="67"/>
      <c r="BK376" s="256" t="s">
        <v>1771</v>
      </c>
    </row>
    <row r="377" spans="1:63" ht="23.25" customHeight="1" thickBot="1" x14ac:dyDescent="0.25">
      <c r="A377" s="7">
        <v>376</v>
      </c>
      <c r="B377" s="221"/>
      <c r="C377" s="221"/>
      <c r="D377" s="223"/>
      <c r="E377" s="54" t="s">
        <v>385</v>
      </c>
      <c r="F377" s="16">
        <v>82</v>
      </c>
      <c r="G377" s="8">
        <v>10</v>
      </c>
      <c r="H377" s="8">
        <v>0</v>
      </c>
      <c r="I377" s="8">
        <v>0</v>
      </c>
      <c r="J377" s="8">
        <v>0</v>
      </c>
      <c r="K377" s="8">
        <v>0</v>
      </c>
      <c r="L377" s="8">
        <v>0.85714285714285721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17">
        <v>0</v>
      </c>
      <c r="T377" s="8">
        <v>7.1428571428571423</v>
      </c>
      <c r="U377" s="8">
        <v>0</v>
      </c>
      <c r="V377" s="8">
        <v>0</v>
      </c>
      <c r="W377" s="8">
        <v>0</v>
      </c>
      <c r="X377" s="8">
        <v>0</v>
      </c>
      <c r="Y377" s="8">
        <v>0</v>
      </c>
      <c r="Z377" s="8">
        <v>0</v>
      </c>
      <c r="AA377" s="8">
        <v>0</v>
      </c>
      <c r="AB377" s="8">
        <v>0</v>
      </c>
      <c r="AC377" s="8">
        <v>0</v>
      </c>
      <c r="AD377" s="14">
        <f t="shared" si="29"/>
        <v>100</v>
      </c>
      <c r="AE377" s="8">
        <v>0</v>
      </c>
      <c r="AF377" s="8">
        <v>0</v>
      </c>
      <c r="AG377" s="8">
        <v>0</v>
      </c>
      <c r="AH377" s="8">
        <v>0</v>
      </c>
      <c r="AI377" s="63" t="s">
        <v>1530</v>
      </c>
      <c r="AJ377" s="7">
        <v>48</v>
      </c>
      <c r="AK377" s="62">
        <v>1379</v>
      </c>
      <c r="AL377" s="158">
        <v>100</v>
      </c>
      <c r="AM377" s="85">
        <v>0</v>
      </c>
      <c r="AN377" s="85"/>
      <c r="AO377" s="85"/>
      <c r="AP377" s="85"/>
      <c r="AQ377" s="85"/>
      <c r="AR377" s="85"/>
      <c r="AS377" s="85"/>
      <c r="AT377" s="205"/>
      <c r="AU377" s="85">
        <v>0</v>
      </c>
      <c r="AV377" s="196">
        <f t="shared" si="30"/>
        <v>100</v>
      </c>
      <c r="AW377" s="85">
        <v>11.476000000000001</v>
      </c>
      <c r="AX377" s="85"/>
      <c r="AY377" s="39">
        <v>0.05</v>
      </c>
      <c r="AZ377" s="7">
        <v>188.7</v>
      </c>
      <c r="BA377" s="62">
        <v>2.2999999999999998</v>
      </c>
      <c r="BB377" s="7">
        <v>1.9</v>
      </c>
      <c r="BC377" s="7">
        <v>21.4</v>
      </c>
      <c r="BD377" s="7">
        <v>189.7</v>
      </c>
      <c r="BE377" s="7">
        <v>9.1999999999999993</v>
      </c>
      <c r="BF377" s="39">
        <v>1.9</v>
      </c>
      <c r="BG377" s="7">
        <v>6.6</v>
      </c>
      <c r="BH377" s="62">
        <v>187</v>
      </c>
      <c r="BI377" s="7"/>
      <c r="BJ377" s="32"/>
      <c r="BK377" s="256"/>
    </row>
    <row r="378" spans="1:63" ht="23.25" customHeight="1" thickBot="1" x14ac:dyDescent="0.25">
      <c r="A378" s="62">
        <v>377</v>
      </c>
      <c r="B378" s="221"/>
      <c r="C378" s="221"/>
      <c r="D378" s="223"/>
      <c r="E378" s="54" t="s">
        <v>386</v>
      </c>
      <c r="F378" s="16">
        <v>81.357142857142847</v>
      </c>
      <c r="G378" s="8">
        <v>10</v>
      </c>
      <c r="H378" s="8">
        <v>0</v>
      </c>
      <c r="I378" s="8">
        <v>0</v>
      </c>
      <c r="J378" s="8">
        <v>0</v>
      </c>
      <c r="K378" s="8">
        <v>0</v>
      </c>
      <c r="L378" s="8">
        <v>1.5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17">
        <v>0</v>
      </c>
      <c r="T378" s="8">
        <v>7.1428571428571423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>
        <v>0</v>
      </c>
      <c r="AC378" s="8">
        <v>0</v>
      </c>
      <c r="AD378" s="14">
        <f t="shared" si="29"/>
        <v>99.999999999999986</v>
      </c>
      <c r="AE378" s="8">
        <v>0</v>
      </c>
      <c r="AF378" s="8">
        <v>0</v>
      </c>
      <c r="AG378" s="8">
        <v>0</v>
      </c>
      <c r="AH378" s="8">
        <v>0</v>
      </c>
      <c r="AI378" s="63" t="s">
        <v>1530</v>
      </c>
      <c r="AJ378" s="7">
        <v>48</v>
      </c>
      <c r="AK378" s="62">
        <v>1386</v>
      </c>
      <c r="AL378" s="158">
        <v>97.7</v>
      </c>
      <c r="AM378" s="85">
        <v>2.2999999999999998</v>
      </c>
      <c r="AN378" s="85"/>
      <c r="AO378" s="85"/>
      <c r="AP378" s="85"/>
      <c r="AQ378" s="85"/>
      <c r="AR378" s="85"/>
      <c r="AS378" s="85"/>
      <c r="AT378" s="205"/>
      <c r="AU378" s="85">
        <v>0</v>
      </c>
      <c r="AV378" s="196">
        <f t="shared" si="30"/>
        <v>100</v>
      </c>
      <c r="AW378" s="85">
        <v>11.478</v>
      </c>
      <c r="AX378" s="85"/>
      <c r="AY378" s="39">
        <v>0.05</v>
      </c>
      <c r="AZ378" s="7">
        <v>184</v>
      </c>
      <c r="BA378" s="62">
        <v>4</v>
      </c>
      <c r="BB378" s="7">
        <v>1.9</v>
      </c>
      <c r="BC378" s="7">
        <v>21.1</v>
      </c>
      <c r="BD378" s="7">
        <v>184.9</v>
      </c>
      <c r="BE378" s="7">
        <v>9.9</v>
      </c>
      <c r="BF378" s="39">
        <v>1.9</v>
      </c>
      <c r="BG378" s="7">
        <v>6.2</v>
      </c>
      <c r="BH378" s="62">
        <v>183.3</v>
      </c>
      <c r="BI378" s="7"/>
      <c r="BJ378" s="32"/>
      <c r="BK378" s="256"/>
    </row>
    <row r="379" spans="1:63" ht="23.25" customHeight="1" thickBot="1" x14ac:dyDescent="0.25">
      <c r="A379" s="7">
        <v>378</v>
      </c>
      <c r="B379" s="221"/>
      <c r="C379" s="221"/>
      <c r="D379" s="223"/>
      <c r="E379" s="54" t="s">
        <v>387</v>
      </c>
      <c r="F379" s="16">
        <v>80.357142857142861</v>
      </c>
      <c r="G379" s="8">
        <v>10</v>
      </c>
      <c r="H379" s="8">
        <v>0</v>
      </c>
      <c r="I379" s="8">
        <v>0</v>
      </c>
      <c r="J379" s="8">
        <v>0</v>
      </c>
      <c r="K379" s="8">
        <v>0</v>
      </c>
      <c r="L379" s="8">
        <v>2.5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17">
        <v>0</v>
      </c>
      <c r="T379" s="8">
        <v>7.1428571428571423</v>
      </c>
      <c r="U379" s="8">
        <v>0</v>
      </c>
      <c r="V379" s="8">
        <v>0</v>
      </c>
      <c r="W379" s="8">
        <v>0</v>
      </c>
      <c r="X379" s="8">
        <v>0</v>
      </c>
      <c r="Y379" s="8">
        <v>0</v>
      </c>
      <c r="Z379" s="8">
        <v>0</v>
      </c>
      <c r="AA379" s="8">
        <v>0</v>
      </c>
      <c r="AB379" s="8">
        <v>0</v>
      </c>
      <c r="AC379" s="8">
        <v>0</v>
      </c>
      <c r="AD379" s="14">
        <f t="shared" si="29"/>
        <v>100</v>
      </c>
      <c r="AE379" s="8">
        <v>0</v>
      </c>
      <c r="AF379" s="8">
        <v>0</v>
      </c>
      <c r="AG379" s="8">
        <v>0</v>
      </c>
      <c r="AH379" s="8">
        <v>0</v>
      </c>
      <c r="AI379" s="63" t="s">
        <v>1530</v>
      </c>
      <c r="AJ379" s="7">
        <v>48</v>
      </c>
      <c r="AK379" s="62">
        <v>1398</v>
      </c>
      <c r="AL379" s="158">
        <v>94.9</v>
      </c>
      <c r="AM379" s="85">
        <v>5.0999999999999996</v>
      </c>
      <c r="AN379" s="85"/>
      <c r="AO379" s="85"/>
      <c r="AP379" s="85"/>
      <c r="AQ379" s="85"/>
      <c r="AR379" s="85"/>
      <c r="AS379" s="85"/>
      <c r="AT379" s="205"/>
      <c r="AU379" s="85">
        <v>0</v>
      </c>
      <c r="AV379" s="196">
        <f t="shared" si="30"/>
        <v>100</v>
      </c>
      <c r="AW379" s="85">
        <v>11.477</v>
      </c>
      <c r="AX379" s="85"/>
      <c r="AY379" s="39">
        <v>0.05</v>
      </c>
      <c r="AZ379" s="7">
        <v>178.9</v>
      </c>
      <c r="BA379" s="62">
        <v>2.6</v>
      </c>
      <c r="BB379" s="7">
        <v>1.9</v>
      </c>
      <c r="BC379" s="7">
        <v>17</v>
      </c>
      <c r="BD379" s="7">
        <v>180.1</v>
      </c>
      <c r="BE379" s="7">
        <v>9.9</v>
      </c>
      <c r="BF379" s="39">
        <v>1.9</v>
      </c>
      <c r="BG379" s="7">
        <v>5.8</v>
      </c>
      <c r="BH379" s="62">
        <v>180.1</v>
      </c>
      <c r="BI379" s="7"/>
      <c r="BJ379" s="32"/>
      <c r="BK379" s="256"/>
    </row>
    <row r="380" spans="1:63" ht="23.25" customHeight="1" thickBot="1" x14ac:dyDescent="0.25">
      <c r="A380" s="62">
        <v>379</v>
      </c>
      <c r="B380" s="221"/>
      <c r="C380" s="221"/>
      <c r="D380" s="223"/>
      <c r="E380" s="54" t="s">
        <v>388</v>
      </c>
      <c r="F380" s="16">
        <v>79.857142857142861</v>
      </c>
      <c r="G380" s="8">
        <v>10</v>
      </c>
      <c r="H380" s="8">
        <v>0</v>
      </c>
      <c r="I380" s="8">
        <v>0</v>
      </c>
      <c r="J380" s="8">
        <v>0</v>
      </c>
      <c r="K380" s="8">
        <v>0</v>
      </c>
      <c r="L380" s="8">
        <v>3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17">
        <v>0</v>
      </c>
      <c r="T380" s="8">
        <v>7.1428571428571423</v>
      </c>
      <c r="U380" s="8">
        <v>0</v>
      </c>
      <c r="V380" s="8">
        <v>0</v>
      </c>
      <c r="W380" s="8">
        <v>0</v>
      </c>
      <c r="X380" s="8">
        <v>0</v>
      </c>
      <c r="Y380" s="8">
        <v>0</v>
      </c>
      <c r="Z380" s="8">
        <v>0</v>
      </c>
      <c r="AA380" s="8">
        <v>0</v>
      </c>
      <c r="AB380" s="8">
        <v>0</v>
      </c>
      <c r="AC380" s="8">
        <v>0</v>
      </c>
      <c r="AD380" s="14">
        <f t="shared" si="29"/>
        <v>100</v>
      </c>
      <c r="AE380" s="8">
        <v>0</v>
      </c>
      <c r="AF380" s="8">
        <v>0</v>
      </c>
      <c r="AG380" s="8">
        <v>0</v>
      </c>
      <c r="AH380" s="8">
        <v>0</v>
      </c>
      <c r="AI380" s="63" t="s">
        <v>1530</v>
      </c>
      <c r="AJ380" s="7">
        <v>48</v>
      </c>
      <c r="AK380" s="62">
        <v>1423</v>
      </c>
      <c r="AL380" s="158">
        <v>92.8</v>
      </c>
      <c r="AM380" s="85">
        <v>7.2</v>
      </c>
      <c r="AN380" s="85"/>
      <c r="AO380" s="85"/>
      <c r="AP380" s="85"/>
      <c r="AQ380" s="85"/>
      <c r="AR380" s="85"/>
      <c r="AS380" s="85"/>
      <c r="AT380" s="205"/>
      <c r="AU380" s="85">
        <v>0</v>
      </c>
      <c r="AV380" s="196">
        <f t="shared" si="30"/>
        <v>100</v>
      </c>
      <c r="AW380" s="85">
        <v>11.475</v>
      </c>
      <c r="AX380" s="85"/>
      <c r="AY380" s="39">
        <v>0.05</v>
      </c>
      <c r="AZ380" s="7">
        <v>175.3</v>
      </c>
      <c r="BA380" s="62">
        <v>0.4</v>
      </c>
      <c r="BB380" s="7">
        <v>1.9</v>
      </c>
      <c r="BC380" s="7">
        <v>14.9</v>
      </c>
      <c r="BD380" s="7">
        <v>179</v>
      </c>
      <c r="BE380" s="7">
        <v>10.199999999999999</v>
      </c>
      <c r="BF380" s="39">
        <v>1.9</v>
      </c>
      <c r="BG380" s="7">
        <v>4.5999999999999996</v>
      </c>
      <c r="BH380" s="62">
        <v>178</v>
      </c>
      <c r="BI380" s="7"/>
      <c r="BJ380" s="32"/>
      <c r="BK380" s="256"/>
    </row>
    <row r="381" spans="1:63" ht="23.25" customHeight="1" thickBot="1" x14ac:dyDescent="0.25">
      <c r="A381" s="7">
        <v>380</v>
      </c>
      <c r="B381" s="221"/>
      <c r="C381" s="221"/>
      <c r="D381" s="223"/>
      <c r="E381" s="54" t="s">
        <v>389</v>
      </c>
      <c r="F381" s="16">
        <v>79.5</v>
      </c>
      <c r="G381" s="8">
        <v>10</v>
      </c>
      <c r="H381" s="8">
        <v>0</v>
      </c>
      <c r="I381" s="8">
        <v>0</v>
      </c>
      <c r="J381" s="8">
        <v>0</v>
      </c>
      <c r="K381" s="8">
        <v>0</v>
      </c>
      <c r="L381" s="8">
        <v>3.3571428571428572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17">
        <v>0</v>
      </c>
      <c r="T381" s="8">
        <v>7.1428571428571423</v>
      </c>
      <c r="U381" s="8">
        <v>0</v>
      </c>
      <c r="V381" s="8">
        <v>0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  <c r="AB381" s="8">
        <v>0</v>
      </c>
      <c r="AC381" s="8">
        <v>0</v>
      </c>
      <c r="AD381" s="14">
        <f t="shared" si="29"/>
        <v>100</v>
      </c>
      <c r="AE381" s="8">
        <v>0</v>
      </c>
      <c r="AF381" s="8">
        <v>0</v>
      </c>
      <c r="AG381" s="8">
        <v>0</v>
      </c>
      <c r="AH381" s="8">
        <v>0</v>
      </c>
      <c r="AI381" s="63" t="s">
        <v>1530</v>
      </c>
      <c r="AJ381" s="7">
        <v>48</v>
      </c>
      <c r="AK381" s="62">
        <v>1423</v>
      </c>
      <c r="AL381" s="158">
        <v>87.5</v>
      </c>
      <c r="AM381" s="85">
        <v>12.5</v>
      </c>
      <c r="AN381" s="85"/>
      <c r="AO381" s="85"/>
      <c r="AP381" s="85"/>
      <c r="AQ381" s="85"/>
      <c r="AR381" s="85"/>
      <c r="AS381" s="85"/>
      <c r="AT381" s="205"/>
      <c r="AU381" s="85">
        <v>0</v>
      </c>
      <c r="AV381" s="196">
        <f t="shared" si="30"/>
        <v>100</v>
      </c>
      <c r="AW381" s="85">
        <v>11.477</v>
      </c>
      <c r="AX381" s="85"/>
      <c r="AY381" s="39">
        <v>0.05</v>
      </c>
      <c r="AZ381" s="7">
        <v>173</v>
      </c>
      <c r="BA381" s="62">
        <v>0.4</v>
      </c>
      <c r="BB381" s="7">
        <v>1.9</v>
      </c>
      <c r="BC381" s="7">
        <v>11.5</v>
      </c>
      <c r="BD381" s="7">
        <v>175.1</v>
      </c>
      <c r="BE381" s="7">
        <v>10.3</v>
      </c>
      <c r="BF381" s="39">
        <v>1.9</v>
      </c>
      <c r="BG381" s="7">
        <v>3.25</v>
      </c>
      <c r="BH381" s="62">
        <v>174</v>
      </c>
      <c r="BI381" s="7"/>
      <c r="BJ381" s="32"/>
      <c r="BK381" s="256"/>
    </row>
    <row r="382" spans="1:63" s="6" customFormat="1" ht="23.25" customHeight="1" thickBot="1" x14ac:dyDescent="0.25">
      <c r="A382" s="62">
        <v>381</v>
      </c>
      <c r="B382" s="222"/>
      <c r="C382" s="222"/>
      <c r="D382" s="224"/>
      <c r="E382" s="13" t="s">
        <v>390</v>
      </c>
      <c r="F382" s="80">
        <v>78.857142857142847</v>
      </c>
      <c r="G382" s="81">
        <v>10</v>
      </c>
      <c r="H382" s="81">
        <v>0</v>
      </c>
      <c r="I382" s="81">
        <v>0</v>
      </c>
      <c r="J382" s="81">
        <v>0</v>
      </c>
      <c r="K382" s="81">
        <v>0</v>
      </c>
      <c r="L382" s="81">
        <v>4</v>
      </c>
      <c r="M382" s="81">
        <v>0</v>
      </c>
      <c r="N382" s="81">
        <v>0</v>
      </c>
      <c r="O382" s="81">
        <v>0</v>
      </c>
      <c r="P382" s="81">
        <v>0</v>
      </c>
      <c r="Q382" s="81">
        <v>0</v>
      </c>
      <c r="R382" s="81">
        <v>0</v>
      </c>
      <c r="S382" s="82">
        <v>0</v>
      </c>
      <c r="T382" s="81">
        <v>7.1428571428571423</v>
      </c>
      <c r="U382" s="81">
        <v>0</v>
      </c>
      <c r="V382" s="81">
        <v>0</v>
      </c>
      <c r="W382" s="81">
        <v>0</v>
      </c>
      <c r="X382" s="81">
        <v>0</v>
      </c>
      <c r="Y382" s="81">
        <v>0</v>
      </c>
      <c r="Z382" s="81">
        <v>0</v>
      </c>
      <c r="AA382" s="81">
        <v>0</v>
      </c>
      <c r="AB382" s="81">
        <v>0</v>
      </c>
      <c r="AC382" s="81">
        <v>0</v>
      </c>
      <c r="AD382" s="83">
        <f t="shared" si="29"/>
        <v>99.999999999999986</v>
      </c>
      <c r="AE382" s="81">
        <v>0</v>
      </c>
      <c r="AF382" s="81">
        <v>0</v>
      </c>
      <c r="AG382" s="81">
        <v>0</v>
      </c>
      <c r="AH382" s="81">
        <v>0</v>
      </c>
      <c r="AI382" s="157" t="s">
        <v>1530</v>
      </c>
      <c r="AJ382" s="65">
        <v>48</v>
      </c>
      <c r="AK382" s="78">
        <v>1423</v>
      </c>
      <c r="AL382" s="200">
        <v>75.5</v>
      </c>
      <c r="AM382" s="190">
        <v>24.5</v>
      </c>
      <c r="AN382" s="190"/>
      <c r="AO382" s="190"/>
      <c r="AP382" s="190"/>
      <c r="AQ382" s="190"/>
      <c r="AR382" s="190"/>
      <c r="AS382" s="190"/>
      <c r="AT382" s="201"/>
      <c r="AU382" s="190">
        <v>0</v>
      </c>
      <c r="AV382" s="202">
        <f t="shared" si="30"/>
        <v>100</v>
      </c>
      <c r="AW382" s="190">
        <v>11.476000000000001</v>
      </c>
      <c r="AX382" s="190"/>
      <c r="AY382" s="79">
        <v>0.05</v>
      </c>
      <c r="AZ382" s="65">
        <v>170</v>
      </c>
      <c r="BA382" s="78">
        <v>0</v>
      </c>
      <c r="BB382" s="65">
        <v>1.9</v>
      </c>
      <c r="BC382" s="65">
        <v>6.7</v>
      </c>
      <c r="BD382" s="65">
        <v>172.1</v>
      </c>
      <c r="BE382" s="65">
        <v>14.1</v>
      </c>
      <c r="BF382" s="79">
        <v>1.9</v>
      </c>
      <c r="BG382" s="65">
        <v>2.2000000000000002</v>
      </c>
      <c r="BH382" s="78">
        <v>172</v>
      </c>
      <c r="BI382" s="65"/>
      <c r="BJ382" s="68"/>
      <c r="BK382" s="256"/>
    </row>
    <row r="383" spans="1:63" ht="23.25" customHeight="1" thickBot="1" x14ac:dyDescent="0.25">
      <c r="A383" s="7">
        <v>382</v>
      </c>
      <c r="B383" s="238">
        <v>141</v>
      </c>
      <c r="C383" s="238" t="s">
        <v>1775</v>
      </c>
      <c r="D383" s="54" t="s">
        <v>116</v>
      </c>
      <c r="E383" s="54"/>
      <c r="F383" s="16">
        <v>81.428571428571431</v>
      </c>
      <c r="G383" s="8">
        <v>11.428571428571429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17">
        <v>0</v>
      </c>
      <c r="T383" s="8">
        <v>5</v>
      </c>
      <c r="U383" s="8">
        <v>0</v>
      </c>
      <c r="V383" s="8">
        <v>0</v>
      </c>
      <c r="W383" s="8">
        <v>2.1428571428571428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  <c r="AD383" s="14">
        <f t="shared" si="29"/>
        <v>100</v>
      </c>
      <c r="AE383" s="8">
        <v>0</v>
      </c>
      <c r="AF383" s="8">
        <v>0</v>
      </c>
      <c r="AG383" s="8">
        <v>0</v>
      </c>
      <c r="AH383" s="8">
        <v>0</v>
      </c>
      <c r="AI383" s="39" t="s">
        <v>1531</v>
      </c>
      <c r="AJ383" s="7">
        <v>336</v>
      </c>
      <c r="AK383" s="62">
        <v>1323</v>
      </c>
      <c r="AL383" s="158">
        <v>69.099999999999994</v>
      </c>
      <c r="AM383" s="85">
        <v>19.399999999999999</v>
      </c>
      <c r="AN383" s="85">
        <v>11.5</v>
      </c>
      <c r="AO383" s="85"/>
      <c r="AP383" s="85"/>
      <c r="AQ383" s="85"/>
      <c r="AR383" s="85"/>
      <c r="AS383" s="85"/>
      <c r="AT383" s="205"/>
      <c r="AU383" s="85">
        <v>0</v>
      </c>
      <c r="AV383" s="196">
        <f t="shared" si="30"/>
        <v>100</v>
      </c>
      <c r="AW383" s="85">
        <v>11.451000000000001</v>
      </c>
      <c r="AX383" s="85"/>
      <c r="AY383" s="39">
        <v>0.01</v>
      </c>
      <c r="AZ383" s="7">
        <v>210</v>
      </c>
      <c r="BA383" s="62"/>
      <c r="BB383" s="7" t="s">
        <v>590</v>
      </c>
      <c r="BC383" s="7" t="s">
        <v>701</v>
      </c>
      <c r="BD383" s="7" t="s">
        <v>703</v>
      </c>
      <c r="BE383" s="85" t="s">
        <v>788</v>
      </c>
      <c r="BF383" s="39"/>
      <c r="BG383" s="7"/>
      <c r="BH383" s="62"/>
      <c r="BI383" s="7"/>
      <c r="BJ383" s="32"/>
      <c r="BK383" s="256" t="s">
        <v>1771</v>
      </c>
    </row>
    <row r="384" spans="1:63" ht="23.25" customHeight="1" thickBot="1" x14ac:dyDescent="0.25">
      <c r="A384" s="62">
        <v>383</v>
      </c>
      <c r="B384" s="221"/>
      <c r="C384" s="221"/>
      <c r="D384" s="54" t="s">
        <v>116</v>
      </c>
      <c r="E384" s="54"/>
      <c r="F384" s="16">
        <v>81.428571428571431</v>
      </c>
      <c r="G384" s="8">
        <v>11.428571428571429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17">
        <v>0</v>
      </c>
      <c r="T384" s="8">
        <v>5</v>
      </c>
      <c r="U384" s="8">
        <v>0</v>
      </c>
      <c r="V384" s="8">
        <v>0</v>
      </c>
      <c r="W384" s="8">
        <v>2.1428571428571428</v>
      </c>
      <c r="X384" s="8">
        <v>0</v>
      </c>
      <c r="Y384" s="8">
        <v>0</v>
      </c>
      <c r="Z384" s="8">
        <v>0</v>
      </c>
      <c r="AA384" s="8">
        <v>0</v>
      </c>
      <c r="AB384" s="8">
        <v>0</v>
      </c>
      <c r="AC384" s="8">
        <v>0</v>
      </c>
      <c r="AD384" s="14">
        <f t="shared" si="29"/>
        <v>100</v>
      </c>
      <c r="AE384" s="8">
        <v>0</v>
      </c>
      <c r="AF384" s="8">
        <v>0</v>
      </c>
      <c r="AG384" s="8">
        <v>0</v>
      </c>
      <c r="AH384" s="8">
        <v>0</v>
      </c>
      <c r="AI384" s="39" t="s">
        <v>1531</v>
      </c>
      <c r="AJ384" s="7">
        <v>4</v>
      </c>
      <c r="AK384" s="62">
        <v>1523</v>
      </c>
      <c r="AL384" s="158">
        <v>96.1</v>
      </c>
      <c r="AM384" s="85">
        <v>3.5</v>
      </c>
      <c r="AN384" s="85">
        <v>0.4</v>
      </c>
      <c r="AO384" s="85"/>
      <c r="AP384" s="85"/>
      <c r="AQ384" s="85"/>
      <c r="AR384" s="85"/>
      <c r="AS384" s="85"/>
      <c r="AT384" s="205"/>
      <c r="AU384" s="85">
        <v>0</v>
      </c>
      <c r="AV384" s="196">
        <f t="shared" si="30"/>
        <v>100</v>
      </c>
      <c r="AW384" s="85">
        <v>11.459</v>
      </c>
      <c r="AX384" s="85"/>
      <c r="AY384" s="39">
        <v>0.01</v>
      </c>
      <c r="AZ384" s="7">
        <v>197</v>
      </c>
      <c r="BA384" s="62"/>
      <c r="BB384" s="7" t="s">
        <v>590</v>
      </c>
      <c r="BC384" s="7" t="s">
        <v>702</v>
      </c>
      <c r="BD384" s="7" t="s">
        <v>704</v>
      </c>
      <c r="BE384" s="7" t="s">
        <v>705</v>
      </c>
      <c r="BF384" s="39"/>
      <c r="BG384" s="7"/>
      <c r="BH384" s="62"/>
      <c r="BI384" s="7"/>
      <c r="BJ384" s="32"/>
      <c r="BK384" s="256"/>
    </row>
    <row r="385" spans="1:63" ht="23.25" customHeight="1" thickBot="1" x14ac:dyDescent="0.25">
      <c r="A385" s="7">
        <v>384</v>
      </c>
      <c r="B385" s="221"/>
      <c r="C385" s="221"/>
      <c r="D385" s="54" t="s">
        <v>117</v>
      </c>
      <c r="E385" s="54"/>
      <c r="F385" s="16">
        <v>81</v>
      </c>
      <c r="G385" s="8">
        <v>11.428571428571429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0.4285714285714286</v>
      </c>
      <c r="O385" s="8">
        <v>0</v>
      </c>
      <c r="P385" s="8">
        <v>0</v>
      </c>
      <c r="Q385" s="8">
        <v>0</v>
      </c>
      <c r="R385" s="8">
        <v>0</v>
      </c>
      <c r="S385" s="17">
        <v>0</v>
      </c>
      <c r="T385" s="8">
        <v>5</v>
      </c>
      <c r="U385" s="8">
        <v>0</v>
      </c>
      <c r="V385" s="8">
        <v>0</v>
      </c>
      <c r="W385" s="8">
        <v>2.1428571428571428</v>
      </c>
      <c r="X385" s="8">
        <v>0</v>
      </c>
      <c r="Y385" s="8">
        <v>0</v>
      </c>
      <c r="Z385" s="8">
        <v>0</v>
      </c>
      <c r="AA385" s="8">
        <v>0</v>
      </c>
      <c r="AB385" s="8">
        <v>0</v>
      </c>
      <c r="AC385" s="8">
        <v>0</v>
      </c>
      <c r="AD385" s="14">
        <f t="shared" si="29"/>
        <v>100</v>
      </c>
      <c r="AE385" s="8">
        <v>0</v>
      </c>
      <c r="AF385" s="8">
        <v>0</v>
      </c>
      <c r="AG385" s="8">
        <v>0</v>
      </c>
      <c r="AH385" s="8">
        <v>0</v>
      </c>
      <c r="AI385" s="39" t="s">
        <v>1531</v>
      </c>
      <c r="AJ385" s="7">
        <v>4</v>
      </c>
      <c r="AK385" s="62">
        <v>1523</v>
      </c>
      <c r="AL385" s="158">
        <v>91.7</v>
      </c>
      <c r="AM385" s="85">
        <v>7.3</v>
      </c>
      <c r="AN385" s="85">
        <v>1</v>
      </c>
      <c r="AO385" s="85"/>
      <c r="AP385" s="85"/>
      <c r="AQ385" s="85"/>
      <c r="AR385" s="85"/>
      <c r="AS385" s="85"/>
      <c r="AT385" s="205"/>
      <c r="AU385" s="85">
        <v>0</v>
      </c>
      <c r="AV385" s="196">
        <f t="shared" si="30"/>
        <v>100</v>
      </c>
      <c r="AW385" s="85">
        <v>11.46</v>
      </c>
      <c r="AX385" s="85"/>
      <c r="AY385" s="39">
        <v>0.01</v>
      </c>
      <c r="AZ385" s="7">
        <v>210</v>
      </c>
      <c r="BA385" s="62"/>
      <c r="BB385" s="7">
        <v>5</v>
      </c>
      <c r="BC385" s="7">
        <v>12</v>
      </c>
      <c r="BD385" s="7">
        <v>210.2</v>
      </c>
      <c r="BE385" s="7">
        <v>27.2</v>
      </c>
      <c r="BF385" s="39"/>
      <c r="BG385" s="7"/>
      <c r="BH385" s="62"/>
      <c r="BI385" s="7"/>
      <c r="BJ385" s="32"/>
      <c r="BK385" s="256"/>
    </row>
    <row r="386" spans="1:63" ht="23.25" customHeight="1" thickBot="1" x14ac:dyDescent="0.25">
      <c r="A386" s="62">
        <v>385</v>
      </c>
      <c r="B386" s="221"/>
      <c r="C386" s="221"/>
      <c r="D386" s="54" t="s">
        <v>118</v>
      </c>
      <c r="E386" s="54"/>
      <c r="F386" s="16">
        <v>80.571428571428569</v>
      </c>
      <c r="G386" s="8">
        <v>11.428571428571431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0.85714285714285721</v>
      </c>
      <c r="O386" s="8">
        <v>0</v>
      </c>
      <c r="P386" s="8">
        <v>0</v>
      </c>
      <c r="Q386" s="8">
        <v>0</v>
      </c>
      <c r="R386" s="8">
        <v>0</v>
      </c>
      <c r="S386" s="17">
        <v>0</v>
      </c>
      <c r="T386" s="8">
        <v>5</v>
      </c>
      <c r="U386" s="8">
        <v>0</v>
      </c>
      <c r="V386" s="8">
        <v>0</v>
      </c>
      <c r="W386" s="8">
        <v>2.1428571428571428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14">
        <f t="shared" si="29"/>
        <v>100</v>
      </c>
      <c r="AE386" s="8">
        <v>0</v>
      </c>
      <c r="AF386" s="8">
        <v>0</v>
      </c>
      <c r="AG386" s="8">
        <v>0</v>
      </c>
      <c r="AH386" s="8">
        <v>0</v>
      </c>
      <c r="AI386" s="39" t="s">
        <v>1531</v>
      </c>
      <c r="AJ386" s="7">
        <v>4</v>
      </c>
      <c r="AK386" s="62">
        <v>1523</v>
      </c>
      <c r="AL386" s="158">
        <v>88.2</v>
      </c>
      <c r="AM386" s="85">
        <v>9.1</v>
      </c>
      <c r="AN386" s="85">
        <v>2.7</v>
      </c>
      <c r="AO386" s="85"/>
      <c r="AP386" s="85"/>
      <c r="AQ386" s="85"/>
      <c r="AR386" s="85"/>
      <c r="AS386" s="85"/>
      <c r="AT386" s="205"/>
      <c r="AU386" s="85">
        <v>0</v>
      </c>
      <c r="AV386" s="196">
        <f t="shared" si="30"/>
        <v>100</v>
      </c>
      <c r="AW386" s="85">
        <v>11.462999999999999</v>
      </c>
      <c r="AX386" s="85"/>
      <c r="AY386" s="39">
        <v>0.01</v>
      </c>
      <c r="AZ386" s="7">
        <v>218</v>
      </c>
      <c r="BA386" s="62"/>
      <c r="BB386" s="7">
        <v>5</v>
      </c>
      <c r="BC386" s="7">
        <v>9</v>
      </c>
      <c r="BD386" s="7"/>
      <c r="BE386" s="7"/>
      <c r="BF386" s="39"/>
      <c r="BG386" s="7"/>
      <c r="BH386" s="62"/>
      <c r="BI386" s="7"/>
      <c r="BJ386" s="32"/>
      <c r="BK386" s="256"/>
    </row>
    <row r="387" spans="1:63" ht="23.25" customHeight="1" thickBot="1" x14ac:dyDescent="0.25">
      <c r="A387" s="7">
        <v>386</v>
      </c>
      <c r="B387" s="221"/>
      <c r="C387" s="221"/>
      <c r="D387" s="54" t="s">
        <v>119</v>
      </c>
      <c r="E387" s="54"/>
      <c r="F387" s="16">
        <v>79.785714285714278</v>
      </c>
      <c r="G387" s="8">
        <v>11.428571428571429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1.6428571428571428</v>
      </c>
      <c r="O387" s="8">
        <v>0</v>
      </c>
      <c r="P387" s="8">
        <v>0</v>
      </c>
      <c r="Q387" s="8">
        <v>0</v>
      </c>
      <c r="R387" s="8">
        <v>0</v>
      </c>
      <c r="S387" s="17">
        <v>0</v>
      </c>
      <c r="T387" s="8">
        <v>5</v>
      </c>
      <c r="U387" s="8">
        <v>0</v>
      </c>
      <c r="V387" s="8">
        <v>0</v>
      </c>
      <c r="W387" s="8">
        <v>2.1428571428571428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0</v>
      </c>
      <c r="AD387" s="14">
        <f t="shared" si="29"/>
        <v>99.999999999999986</v>
      </c>
      <c r="AE387" s="8">
        <v>0</v>
      </c>
      <c r="AF387" s="8">
        <v>0</v>
      </c>
      <c r="AG387" s="8">
        <v>0</v>
      </c>
      <c r="AH387" s="8">
        <v>0</v>
      </c>
      <c r="AI387" s="39" t="s">
        <v>1531</v>
      </c>
      <c r="AJ387" s="7">
        <v>4</v>
      </c>
      <c r="AK387" s="62">
        <v>1523</v>
      </c>
      <c r="AL387" s="158">
        <v>86.8</v>
      </c>
      <c r="AM387" s="85">
        <v>10.199999999999999</v>
      </c>
      <c r="AN387" s="85">
        <v>3</v>
      </c>
      <c r="AO387" s="85"/>
      <c r="AP387" s="85"/>
      <c r="AQ387" s="85"/>
      <c r="AR387" s="85"/>
      <c r="AS387" s="85"/>
      <c r="AT387" s="205"/>
      <c r="AU387" s="85">
        <v>0</v>
      </c>
      <c r="AV387" s="196">
        <f t="shared" si="30"/>
        <v>100</v>
      </c>
      <c r="AW387" s="85">
        <v>11.465</v>
      </c>
      <c r="AX387" s="85"/>
      <c r="AY387" s="39">
        <v>0.01</v>
      </c>
      <c r="AZ387" s="7">
        <v>224</v>
      </c>
      <c r="BA387" s="62"/>
      <c r="BB387" s="7">
        <v>5</v>
      </c>
      <c r="BC387" s="7">
        <v>7</v>
      </c>
      <c r="BD387" s="7"/>
      <c r="BE387" s="7"/>
      <c r="BF387" s="39"/>
      <c r="BG387" s="7"/>
      <c r="BH387" s="62"/>
      <c r="BI387" s="7"/>
      <c r="BJ387" s="32"/>
      <c r="BK387" s="256"/>
    </row>
    <row r="388" spans="1:63" ht="23.25" customHeight="1" thickBot="1" x14ac:dyDescent="0.25">
      <c r="A388" s="62">
        <v>387</v>
      </c>
      <c r="B388" s="222"/>
      <c r="C388" s="222"/>
      <c r="D388" s="54" t="s">
        <v>120</v>
      </c>
      <c r="E388" s="54"/>
      <c r="F388" s="16">
        <v>79</v>
      </c>
      <c r="G388" s="8">
        <v>11.428571428571429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2.4285714285714288</v>
      </c>
      <c r="O388" s="8">
        <v>0</v>
      </c>
      <c r="P388" s="8">
        <v>0</v>
      </c>
      <c r="Q388" s="8">
        <v>0</v>
      </c>
      <c r="R388" s="8">
        <v>0</v>
      </c>
      <c r="S388" s="17">
        <v>0</v>
      </c>
      <c r="T388" s="8">
        <v>5</v>
      </c>
      <c r="U388" s="8">
        <v>0</v>
      </c>
      <c r="V388" s="8">
        <v>0</v>
      </c>
      <c r="W388" s="8">
        <v>2.1428571428571428</v>
      </c>
      <c r="X388" s="8">
        <v>0</v>
      </c>
      <c r="Y388" s="8">
        <v>0</v>
      </c>
      <c r="Z388" s="8">
        <v>0</v>
      </c>
      <c r="AA388" s="8">
        <v>0</v>
      </c>
      <c r="AB388" s="8">
        <v>0</v>
      </c>
      <c r="AC388" s="8">
        <v>0</v>
      </c>
      <c r="AD388" s="14">
        <f t="shared" si="29"/>
        <v>100</v>
      </c>
      <c r="AE388" s="8">
        <v>0</v>
      </c>
      <c r="AF388" s="8">
        <v>0</v>
      </c>
      <c r="AG388" s="8">
        <v>0</v>
      </c>
      <c r="AH388" s="8">
        <v>0</v>
      </c>
      <c r="AI388" s="39" t="s">
        <v>1531</v>
      </c>
      <c r="AJ388" s="7">
        <v>4</v>
      </c>
      <c r="AK388" s="62">
        <v>1523</v>
      </c>
      <c r="AL388" s="158">
        <v>85.2</v>
      </c>
      <c r="AM388" s="85">
        <v>10.6</v>
      </c>
      <c r="AN388" s="85">
        <v>4.2</v>
      </c>
      <c r="AO388" s="85"/>
      <c r="AP388" s="85"/>
      <c r="AQ388" s="85"/>
      <c r="AR388" s="85"/>
      <c r="AS388" s="85"/>
      <c r="AT388" s="205"/>
      <c r="AU388" s="85">
        <v>0</v>
      </c>
      <c r="AV388" s="196">
        <f t="shared" si="30"/>
        <v>100</v>
      </c>
      <c r="AW388" s="85">
        <v>11.465999999999999</v>
      </c>
      <c r="AX388" s="85"/>
      <c r="AY388" s="39">
        <v>0.01</v>
      </c>
      <c r="AZ388" s="7">
        <v>230</v>
      </c>
      <c r="BA388" s="62"/>
      <c r="BB388" s="7">
        <v>5</v>
      </c>
      <c r="BC388" s="7">
        <v>5</v>
      </c>
      <c r="BD388" s="7">
        <v>229.6</v>
      </c>
      <c r="BE388" s="7">
        <v>54.9</v>
      </c>
      <c r="BF388" s="39"/>
      <c r="BG388" s="7"/>
      <c r="BH388" s="62"/>
      <c r="BI388" s="7"/>
      <c r="BJ388" s="32"/>
      <c r="BK388" s="256"/>
    </row>
    <row r="389" spans="1:63" s="4" customFormat="1" ht="23.25" customHeight="1" thickBot="1" x14ac:dyDescent="0.25">
      <c r="A389" s="7">
        <v>388</v>
      </c>
      <c r="B389" s="238">
        <v>143</v>
      </c>
      <c r="C389" s="238" t="s">
        <v>1776</v>
      </c>
      <c r="D389" s="225" t="s">
        <v>1514</v>
      </c>
      <c r="E389" s="12" t="s">
        <v>334</v>
      </c>
      <c r="F389" s="87">
        <v>81.714285714285708</v>
      </c>
      <c r="G389" s="88">
        <v>0</v>
      </c>
      <c r="H389" s="88">
        <v>11.142857142857142</v>
      </c>
      <c r="I389" s="88">
        <v>0</v>
      </c>
      <c r="J389" s="88">
        <v>0</v>
      </c>
      <c r="K389" s="88">
        <v>0</v>
      </c>
      <c r="L389" s="88">
        <v>0</v>
      </c>
      <c r="M389" s="88">
        <v>0</v>
      </c>
      <c r="N389" s="88">
        <v>0</v>
      </c>
      <c r="O389" s="88">
        <v>0</v>
      </c>
      <c r="P389" s="88">
        <v>0</v>
      </c>
      <c r="Q389" s="88">
        <v>0</v>
      </c>
      <c r="R389" s="88">
        <v>0</v>
      </c>
      <c r="S389" s="89">
        <v>0</v>
      </c>
      <c r="T389" s="88">
        <v>7.1428571428571423</v>
      </c>
      <c r="U389" s="88">
        <v>0</v>
      </c>
      <c r="V389" s="88">
        <v>0</v>
      </c>
      <c r="W389" s="88">
        <v>0</v>
      </c>
      <c r="X389" s="88">
        <v>0</v>
      </c>
      <c r="Y389" s="88">
        <v>0</v>
      </c>
      <c r="Z389" s="88">
        <v>0</v>
      </c>
      <c r="AA389" s="88">
        <v>0</v>
      </c>
      <c r="AB389" s="88">
        <v>0</v>
      </c>
      <c r="AC389" s="88">
        <v>0</v>
      </c>
      <c r="AD389" s="90">
        <f t="shared" si="29"/>
        <v>99.999999999999986</v>
      </c>
      <c r="AE389" s="88">
        <v>0</v>
      </c>
      <c r="AF389" s="88">
        <v>0</v>
      </c>
      <c r="AG389" s="88">
        <v>0</v>
      </c>
      <c r="AH389" s="88">
        <v>0</v>
      </c>
      <c r="AI389" s="156" t="s">
        <v>1531</v>
      </c>
      <c r="AJ389" s="45">
        <v>360</v>
      </c>
      <c r="AK389" s="91">
        <v>1170</v>
      </c>
      <c r="AL389" s="197"/>
      <c r="AM389" s="189"/>
      <c r="AN389" s="189"/>
      <c r="AO389" s="189"/>
      <c r="AP389" s="189"/>
      <c r="AQ389" s="189"/>
      <c r="AR389" s="189"/>
      <c r="AS389" s="189"/>
      <c r="AT389" s="198"/>
      <c r="AU389" s="189"/>
      <c r="AV389" s="199"/>
      <c r="AW389" s="189"/>
      <c r="AX389" s="189"/>
      <c r="AY389" s="156">
        <v>0.01</v>
      </c>
      <c r="AZ389" s="45">
        <v>206</v>
      </c>
      <c r="BA389" s="91"/>
      <c r="BB389" s="45">
        <v>5</v>
      </c>
      <c r="BC389" s="45">
        <v>2.2000000000000002</v>
      </c>
      <c r="BD389" s="45">
        <v>205.3</v>
      </c>
      <c r="BE389" s="45">
        <v>47.5</v>
      </c>
      <c r="BF389" s="156"/>
      <c r="BG389" s="45"/>
      <c r="BH389" s="91"/>
      <c r="BI389" s="45"/>
      <c r="BJ389" s="67"/>
      <c r="BK389" s="256"/>
    </row>
    <row r="390" spans="1:63" ht="23.25" customHeight="1" thickBot="1" x14ac:dyDescent="0.25">
      <c r="A390" s="62">
        <v>389</v>
      </c>
      <c r="B390" s="221"/>
      <c r="C390" s="221"/>
      <c r="D390" s="223"/>
      <c r="E390" s="54" t="s">
        <v>305</v>
      </c>
      <c r="F390" s="16">
        <v>78.445714285714288</v>
      </c>
      <c r="G390" s="8">
        <v>0</v>
      </c>
      <c r="H390" s="8">
        <v>11.142857142857144</v>
      </c>
      <c r="I390" s="8">
        <v>0</v>
      </c>
      <c r="J390" s="8">
        <v>3.2685714285714291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>
        <v>0</v>
      </c>
      <c r="S390" s="17">
        <v>0</v>
      </c>
      <c r="T390" s="8">
        <v>7.1428571428571441</v>
      </c>
      <c r="U390" s="8">
        <v>0</v>
      </c>
      <c r="V390" s="8">
        <v>0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14">
        <f t="shared" si="29"/>
        <v>100</v>
      </c>
      <c r="AE390" s="8">
        <v>0</v>
      </c>
      <c r="AF390" s="8">
        <v>0</v>
      </c>
      <c r="AG390" s="8">
        <v>0</v>
      </c>
      <c r="AH390" s="8">
        <v>0</v>
      </c>
      <c r="AI390" s="39" t="s">
        <v>1531</v>
      </c>
      <c r="AJ390" s="7">
        <v>360</v>
      </c>
      <c r="AK390" s="62">
        <v>1170</v>
      </c>
      <c r="AL390" s="158"/>
      <c r="AM390" s="85"/>
      <c r="AN390" s="85"/>
      <c r="AO390" s="85"/>
      <c r="AP390" s="85"/>
      <c r="AQ390" s="85"/>
      <c r="AR390" s="85"/>
      <c r="AS390" s="85"/>
      <c r="AT390" s="205"/>
      <c r="AU390" s="85"/>
      <c r="AV390" s="196"/>
      <c r="AW390" s="85"/>
      <c r="AX390" s="85"/>
      <c r="AY390" s="39">
        <v>0.01</v>
      </c>
      <c r="AZ390" s="7">
        <v>250</v>
      </c>
      <c r="BA390" s="62"/>
      <c r="BB390" s="7">
        <v>5</v>
      </c>
      <c r="BC390" s="7">
        <v>5.5</v>
      </c>
      <c r="BD390" s="7">
        <v>249.9</v>
      </c>
      <c r="BE390" s="7">
        <v>77.7</v>
      </c>
      <c r="BF390" s="39"/>
      <c r="BG390" s="7"/>
      <c r="BH390" s="62"/>
      <c r="BI390" s="7"/>
      <c r="BJ390" s="32"/>
      <c r="BK390" s="256"/>
    </row>
    <row r="391" spans="1:63" ht="23.25" customHeight="1" thickBot="1" x14ac:dyDescent="0.25">
      <c r="A391" s="7">
        <v>390</v>
      </c>
      <c r="B391" s="221"/>
      <c r="C391" s="221"/>
      <c r="D391" s="223"/>
      <c r="E391" s="54" t="s">
        <v>308</v>
      </c>
      <c r="F391" s="16">
        <v>75.177142857142854</v>
      </c>
      <c r="G391" s="8">
        <v>0</v>
      </c>
      <c r="H391" s="8">
        <v>11.142857142857142</v>
      </c>
      <c r="I391" s="8">
        <v>0</v>
      </c>
      <c r="J391" s="8">
        <v>6.5371428571428565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17">
        <v>0</v>
      </c>
      <c r="T391" s="8">
        <v>7.1428571428571423</v>
      </c>
      <c r="U391" s="8">
        <v>0</v>
      </c>
      <c r="V391" s="8">
        <v>0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14">
        <f t="shared" si="29"/>
        <v>99.999999999999986</v>
      </c>
      <c r="AE391" s="8">
        <v>0</v>
      </c>
      <c r="AF391" s="8">
        <v>0</v>
      </c>
      <c r="AG391" s="8">
        <v>0</v>
      </c>
      <c r="AH391" s="8">
        <v>0</v>
      </c>
      <c r="AI391" s="39" t="s">
        <v>1531</v>
      </c>
      <c r="AJ391" s="7">
        <v>360</v>
      </c>
      <c r="AK391" s="62">
        <v>1170</v>
      </c>
      <c r="AL391" s="158"/>
      <c r="AM391" s="85"/>
      <c r="AN391" s="85"/>
      <c r="AO391" s="85"/>
      <c r="AP391" s="85"/>
      <c r="AQ391" s="85"/>
      <c r="AR391" s="85"/>
      <c r="AS391" s="85"/>
      <c r="AT391" s="205"/>
      <c r="AU391" s="85"/>
      <c r="AV391" s="196"/>
      <c r="AW391" s="85"/>
      <c r="AX391" s="85"/>
      <c r="AY391" s="39">
        <v>0.01</v>
      </c>
      <c r="AZ391" s="7">
        <v>320</v>
      </c>
      <c r="BA391" s="62"/>
      <c r="BB391" s="7">
        <v>5</v>
      </c>
      <c r="BC391" s="7">
        <v>4.6500000000000004</v>
      </c>
      <c r="BD391" s="7">
        <v>320.89999999999998</v>
      </c>
      <c r="BE391" s="7">
        <v>104.9</v>
      </c>
      <c r="BF391" s="39"/>
      <c r="BG391" s="7"/>
      <c r="BH391" s="62"/>
      <c r="BI391" s="7"/>
      <c r="BJ391" s="32"/>
      <c r="BK391" s="256"/>
    </row>
    <row r="392" spans="1:63" s="6" customFormat="1" ht="23.25" customHeight="1" thickBot="1" x14ac:dyDescent="0.25">
      <c r="A392" s="62">
        <v>391</v>
      </c>
      <c r="B392" s="222"/>
      <c r="C392" s="222"/>
      <c r="D392" s="224"/>
      <c r="E392" s="13" t="s">
        <v>385</v>
      </c>
      <c r="F392" s="80">
        <v>71.90857142857142</v>
      </c>
      <c r="G392" s="81">
        <v>0</v>
      </c>
      <c r="H392" s="81">
        <v>11.142857142857142</v>
      </c>
      <c r="I392" s="81">
        <v>0</v>
      </c>
      <c r="J392" s="81">
        <v>9.8057142857142843</v>
      </c>
      <c r="K392" s="81">
        <v>0</v>
      </c>
      <c r="L392" s="81">
        <v>0</v>
      </c>
      <c r="M392" s="81">
        <v>0</v>
      </c>
      <c r="N392" s="81">
        <v>0</v>
      </c>
      <c r="O392" s="81">
        <v>0</v>
      </c>
      <c r="P392" s="81">
        <v>0</v>
      </c>
      <c r="Q392" s="81">
        <v>0</v>
      </c>
      <c r="R392" s="81">
        <v>0</v>
      </c>
      <c r="S392" s="82">
        <v>0</v>
      </c>
      <c r="T392" s="81">
        <v>7.1428571428571423</v>
      </c>
      <c r="U392" s="81">
        <v>0</v>
      </c>
      <c r="V392" s="81">
        <v>0</v>
      </c>
      <c r="W392" s="81">
        <v>0</v>
      </c>
      <c r="X392" s="81">
        <v>0</v>
      </c>
      <c r="Y392" s="81">
        <v>0</v>
      </c>
      <c r="Z392" s="81">
        <v>0</v>
      </c>
      <c r="AA392" s="81">
        <v>0</v>
      </c>
      <c r="AB392" s="81">
        <v>0</v>
      </c>
      <c r="AC392" s="81">
        <v>0</v>
      </c>
      <c r="AD392" s="83">
        <f t="shared" si="29"/>
        <v>99.999999999999986</v>
      </c>
      <c r="AE392" s="81">
        <v>0</v>
      </c>
      <c r="AF392" s="81">
        <v>0</v>
      </c>
      <c r="AG392" s="81">
        <v>0</v>
      </c>
      <c r="AH392" s="81">
        <v>0</v>
      </c>
      <c r="AI392" s="79" t="s">
        <v>1531</v>
      </c>
      <c r="AJ392" s="65">
        <v>360</v>
      </c>
      <c r="AK392" s="78">
        <v>1170</v>
      </c>
      <c r="AL392" s="200"/>
      <c r="AM392" s="190"/>
      <c r="AN392" s="190"/>
      <c r="AO392" s="190"/>
      <c r="AP392" s="190"/>
      <c r="AQ392" s="190"/>
      <c r="AR392" s="190"/>
      <c r="AS392" s="190"/>
      <c r="AT392" s="201"/>
      <c r="AU392" s="190"/>
      <c r="AV392" s="202"/>
      <c r="AW392" s="190"/>
      <c r="AX392" s="190"/>
      <c r="AY392" s="79">
        <v>0.01</v>
      </c>
      <c r="AZ392" s="65">
        <v>370</v>
      </c>
      <c r="BA392" s="78"/>
      <c r="BB392" s="65">
        <v>5</v>
      </c>
      <c r="BC392" s="65">
        <v>4.75</v>
      </c>
      <c r="BD392" s="65">
        <v>369.6</v>
      </c>
      <c r="BE392" s="65"/>
      <c r="BF392" s="79"/>
      <c r="BG392" s="65"/>
      <c r="BH392" s="78"/>
      <c r="BI392" s="65"/>
      <c r="BJ392" s="68"/>
      <c r="BK392" s="256"/>
    </row>
    <row r="393" spans="1:63" ht="23.25" customHeight="1" thickBot="1" x14ac:dyDescent="0.25">
      <c r="A393" s="7">
        <v>392</v>
      </c>
      <c r="B393" s="221">
        <v>145</v>
      </c>
      <c r="C393" s="221" t="s">
        <v>1777</v>
      </c>
      <c r="D393" s="54" t="s">
        <v>121</v>
      </c>
      <c r="E393" s="54"/>
      <c r="F393" s="16">
        <v>83.571428571428569</v>
      </c>
      <c r="G393" s="8">
        <v>9.2857142857142865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17">
        <v>0</v>
      </c>
      <c r="T393" s="8">
        <v>6.4285714285714297</v>
      </c>
      <c r="U393" s="8">
        <v>0</v>
      </c>
      <c r="V393" s="8">
        <v>0.7142857142857143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14">
        <f t="shared" si="29"/>
        <v>100</v>
      </c>
      <c r="AE393" s="8">
        <f>1.8/14*100</f>
        <v>12.857142857142859</v>
      </c>
      <c r="AF393" s="8">
        <v>0</v>
      </c>
      <c r="AG393" s="8">
        <v>0</v>
      </c>
      <c r="AH393" s="8">
        <v>0</v>
      </c>
      <c r="AI393" s="39" t="s">
        <v>1531</v>
      </c>
      <c r="AJ393" s="7">
        <v>144</v>
      </c>
      <c r="AK393" s="62">
        <v>1373</v>
      </c>
      <c r="AL393" s="158"/>
      <c r="AM393" s="85"/>
      <c r="AN393" s="85"/>
      <c r="AO393" s="85"/>
      <c r="AP393" s="85"/>
      <c r="AQ393" s="85"/>
      <c r="AR393" s="85"/>
      <c r="AS393" s="85"/>
      <c r="AT393" s="205"/>
      <c r="AU393" s="85"/>
      <c r="AV393" s="196"/>
      <c r="AW393" s="85"/>
      <c r="AX393" s="85"/>
      <c r="AY393" s="39">
        <v>0.05</v>
      </c>
      <c r="AZ393" s="7">
        <v>329</v>
      </c>
      <c r="BA393" s="62"/>
      <c r="BB393" s="7">
        <v>1.5</v>
      </c>
      <c r="BC393" s="7">
        <v>11.4</v>
      </c>
      <c r="BD393" s="7">
        <v>334.4</v>
      </c>
      <c r="BE393" s="7">
        <v>9.3000000000000007</v>
      </c>
      <c r="BF393" s="39"/>
      <c r="BG393" s="7"/>
      <c r="BH393" s="62"/>
      <c r="BI393" s="7"/>
      <c r="BJ393" s="32"/>
      <c r="BK393" s="256"/>
    </row>
    <row r="394" spans="1:63" ht="23.25" customHeight="1" thickBot="1" x14ac:dyDescent="0.25">
      <c r="A394" s="62">
        <v>393</v>
      </c>
      <c r="B394" s="221"/>
      <c r="C394" s="221"/>
      <c r="D394" s="54" t="s">
        <v>122</v>
      </c>
      <c r="E394" s="54"/>
      <c r="F394" s="16">
        <f>11.41/14*100</f>
        <v>81.5</v>
      </c>
      <c r="G394" s="8">
        <v>9.2857142857142865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f>0.29/14*100</f>
        <v>2.0714285714285712</v>
      </c>
      <c r="Q394" s="8">
        <v>0</v>
      </c>
      <c r="R394" s="8">
        <v>0</v>
      </c>
      <c r="S394" s="17">
        <v>0</v>
      </c>
      <c r="T394" s="8">
        <v>6.4285714285714297</v>
      </c>
      <c r="U394" s="8">
        <v>0</v>
      </c>
      <c r="V394" s="8">
        <v>0.7142857142857143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>
        <v>0</v>
      </c>
      <c r="AC394" s="8">
        <v>0</v>
      </c>
      <c r="AD394" s="14">
        <f>SUM(F394:AC394)</f>
        <v>100</v>
      </c>
      <c r="AE394" s="8">
        <f>1.8/14*100</f>
        <v>12.857142857142859</v>
      </c>
      <c r="AF394" s="8">
        <v>0</v>
      </c>
      <c r="AG394" s="8">
        <v>0</v>
      </c>
      <c r="AH394" s="8">
        <v>0</v>
      </c>
      <c r="AI394" s="39" t="s">
        <v>1531</v>
      </c>
      <c r="AJ394" s="7">
        <v>144</v>
      </c>
      <c r="AK394" s="62">
        <v>1373</v>
      </c>
      <c r="AL394" s="158"/>
      <c r="AM394" s="85"/>
      <c r="AN394" s="85"/>
      <c r="AO394" s="85"/>
      <c r="AP394" s="85"/>
      <c r="AQ394" s="85"/>
      <c r="AR394" s="85"/>
      <c r="AS394" s="85"/>
      <c r="AT394" s="205"/>
      <c r="AU394" s="85"/>
      <c r="AV394" s="196"/>
      <c r="AW394" s="85"/>
      <c r="AX394" s="85"/>
      <c r="AY394" s="39">
        <v>0.05</v>
      </c>
      <c r="AZ394" s="7">
        <v>283</v>
      </c>
      <c r="BA394" s="62"/>
      <c r="BB394" s="7">
        <v>1.5</v>
      </c>
      <c r="BC394" s="7">
        <v>10.4</v>
      </c>
      <c r="BD394" s="7">
        <v>281</v>
      </c>
      <c r="BE394" s="7">
        <v>8.9</v>
      </c>
      <c r="BF394" s="39"/>
      <c r="BG394" s="7"/>
      <c r="BH394" s="62"/>
      <c r="BI394" s="7"/>
      <c r="BJ394" s="32"/>
      <c r="BK394" s="256"/>
    </row>
    <row r="395" spans="1:63" ht="23.25" customHeight="1" thickBot="1" x14ac:dyDescent="0.25">
      <c r="A395" s="7">
        <v>394</v>
      </c>
      <c r="B395" s="222"/>
      <c r="C395" s="222"/>
      <c r="D395" s="54" t="s">
        <v>123</v>
      </c>
      <c r="E395" s="54"/>
      <c r="F395" s="16">
        <f>10.99/14*100</f>
        <v>78.5</v>
      </c>
      <c r="G395" s="8">
        <f>1.1/14*100</f>
        <v>7.8571428571428585</v>
      </c>
      <c r="H395" s="8">
        <v>0</v>
      </c>
      <c r="I395" s="8">
        <v>0</v>
      </c>
      <c r="J395" s="8">
        <f>0.91/14*100</f>
        <v>6.5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17">
        <v>0</v>
      </c>
      <c r="T395" s="8">
        <v>7.1428571428571423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14">
        <f t="shared" si="29"/>
        <v>100</v>
      </c>
      <c r="AE395" s="8">
        <v>0</v>
      </c>
      <c r="AF395" s="8">
        <v>0</v>
      </c>
      <c r="AG395" s="8">
        <v>0</v>
      </c>
      <c r="AH395" s="8">
        <f>0.2/14*100</f>
        <v>1.4285714285714286</v>
      </c>
      <c r="AJ395" s="7"/>
      <c r="AK395" s="62"/>
      <c r="AL395" s="158"/>
      <c r="AM395" s="85"/>
      <c r="AN395" s="85"/>
      <c r="AO395" s="85"/>
      <c r="AP395" s="85"/>
      <c r="AQ395" s="85"/>
      <c r="AR395" s="85"/>
      <c r="AS395" s="85"/>
      <c r="AT395" s="205"/>
      <c r="AU395" s="85"/>
      <c r="AV395" s="196"/>
      <c r="AW395" s="85"/>
      <c r="AX395" s="85"/>
      <c r="AY395" s="39"/>
      <c r="AZ395" s="7"/>
      <c r="BA395" s="62"/>
      <c r="BB395" s="7">
        <v>1.5</v>
      </c>
      <c r="BC395" s="7">
        <v>5.0999999999999996</v>
      </c>
      <c r="BD395" s="7">
        <v>294</v>
      </c>
      <c r="BE395" s="7">
        <v>23.5</v>
      </c>
      <c r="BF395" s="39">
        <v>1.5</v>
      </c>
      <c r="BG395" s="7">
        <v>2.2000000000000002</v>
      </c>
      <c r="BH395" s="62">
        <v>293</v>
      </c>
      <c r="BI395" s="7"/>
      <c r="BJ395" s="32"/>
      <c r="BK395" s="256"/>
    </row>
    <row r="396" spans="1:63" s="4" customFormat="1" ht="23.25" customHeight="1" thickBot="1" x14ac:dyDescent="0.25">
      <c r="A396" s="62">
        <v>395</v>
      </c>
      <c r="B396" s="238">
        <v>151</v>
      </c>
      <c r="C396" s="238" t="s">
        <v>1778</v>
      </c>
      <c r="D396" s="225" t="s">
        <v>397</v>
      </c>
      <c r="E396" s="12" t="s">
        <v>393</v>
      </c>
      <c r="F396" s="87">
        <v>81.714285714285708</v>
      </c>
      <c r="G396" s="88">
        <v>11.142857142857142</v>
      </c>
      <c r="H396" s="88">
        <v>0</v>
      </c>
      <c r="I396" s="88">
        <v>0</v>
      </c>
      <c r="J396" s="88">
        <v>0</v>
      </c>
      <c r="K396" s="88">
        <v>0</v>
      </c>
      <c r="L396" s="88">
        <v>0</v>
      </c>
      <c r="M396" s="88">
        <v>0</v>
      </c>
      <c r="N396" s="88">
        <v>0</v>
      </c>
      <c r="O396" s="88">
        <v>0</v>
      </c>
      <c r="P396" s="88">
        <v>0</v>
      </c>
      <c r="Q396" s="88">
        <v>0</v>
      </c>
      <c r="R396" s="88">
        <v>0</v>
      </c>
      <c r="S396" s="89">
        <v>0</v>
      </c>
      <c r="T396" s="88">
        <v>7.1428571428571423</v>
      </c>
      <c r="U396" s="88">
        <v>0</v>
      </c>
      <c r="V396" s="88">
        <v>0</v>
      </c>
      <c r="W396" s="88">
        <v>0</v>
      </c>
      <c r="X396" s="88">
        <v>0</v>
      </c>
      <c r="Y396" s="88">
        <v>0</v>
      </c>
      <c r="Z396" s="88">
        <v>0</v>
      </c>
      <c r="AA396" s="88">
        <v>0</v>
      </c>
      <c r="AB396" s="88">
        <v>0</v>
      </c>
      <c r="AC396" s="88">
        <v>0</v>
      </c>
      <c r="AD396" s="90">
        <f t="shared" si="29"/>
        <v>99.999999999999986</v>
      </c>
      <c r="AE396" s="88">
        <v>0</v>
      </c>
      <c r="AF396" s="88">
        <v>0</v>
      </c>
      <c r="AG396" s="88">
        <v>0</v>
      </c>
      <c r="AH396" s="88">
        <v>0</v>
      </c>
      <c r="AI396" s="156" t="s">
        <v>1531</v>
      </c>
      <c r="AJ396" s="45">
        <v>240</v>
      </c>
      <c r="AK396" s="91">
        <v>1323</v>
      </c>
      <c r="AL396" s="197"/>
      <c r="AM396" s="189"/>
      <c r="AN396" s="189"/>
      <c r="AO396" s="189"/>
      <c r="AP396" s="189"/>
      <c r="AQ396" s="189"/>
      <c r="AR396" s="189"/>
      <c r="AS396" s="189"/>
      <c r="AT396" s="198"/>
      <c r="AU396" s="189"/>
      <c r="AV396" s="199"/>
      <c r="AW396" s="189"/>
      <c r="AX396" s="189"/>
      <c r="AY396" s="156">
        <v>0.01</v>
      </c>
      <c r="AZ396" s="45">
        <v>195.2</v>
      </c>
      <c r="BA396" s="91"/>
      <c r="BB396" s="45">
        <v>4</v>
      </c>
      <c r="BC396" s="45">
        <v>21.2</v>
      </c>
      <c r="BD396" s="45">
        <v>200.7</v>
      </c>
      <c r="BE396" s="45">
        <v>17</v>
      </c>
      <c r="BF396" s="156"/>
      <c r="BG396" s="45"/>
      <c r="BH396" s="91"/>
      <c r="BI396" s="45"/>
      <c r="BJ396" s="67"/>
      <c r="BK396" s="256" t="s">
        <v>124</v>
      </c>
    </row>
    <row r="397" spans="1:63" ht="23.25" customHeight="1" thickBot="1" x14ac:dyDescent="0.25">
      <c r="A397" s="7">
        <v>396</v>
      </c>
      <c r="B397" s="221"/>
      <c r="C397" s="221"/>
      <c r="D397" s="223"/>
      <c r="E397" s="54" t="s">
        <v>394</v>
      </c>
      <c r="F397" s="16">
        <v>80.785714285714278</v>
      </c>
      <c r="G397" s="8">
        <v>11.142857142857142</v>
      </c>
      <c r="H397" s="8">
        <v>0</v>
      </c>
      <c r="I397" s="8">
        <v>0</v>
      </c>
      <c r="J397" s="8">
        <v>0</v>
      </c>
      <c r="K397" s="8">
        <v>0</v>
      </c>
      <c r="L397" s="8">
        <v>0.92857142857142838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17">
        <v>0</v>
      </c>
      <c r="T397" s="8">
        <v>7.1428571428571423</v>
      </c>
      <c r="U397" s="8">
        <v>0</v>
      </c>
      <c r="V397" s="8">
        <v>0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14">
        <f t="shared" ref="AD397:AD459" si="31">SUM(F397:AC397)</f>
        <v>99.999999999999986</v>
      </c>
      <c r="AE397" s="8">
        <v>0</v>
      </c>
      <c r="AF397" s="8">
        <v>0</v>
      </c>
      <c r="AG397" s="8">
        <v>0</v>
      </c>
      <c r="AH397" s="8">
        <v>0</v>
      </c>
      <c r="AI397" s="39" t="s">
        <v>1531</v>
      </c>
      <c r="AJ397" s="7">
        <v>240</v>
      </c>
      <c r="AK397" s="62">
        <v>1323</v>
      </c>
      <c r="AL397" s="158"/>
      <c r="AM397" s="85"/>
      <c r="AN397" s="85"/>
      <c r="AO397" s="85"/>
      <c r="AP397" s="85"/>
      <c r="AQ397" s="85"/>
      <c r="AR397" s="85"/>
      <c r="AS397" s="85"/>
      <c r="AT397" s="205"/>
      <c r="AU397" s="85"/>
      <c r="AV397" s="196"/>
      <c r="AW397" s="85"/>
      <c r="AX397" s="85"/>
      <c r="AY397" s="39">
        <v>0.01</v>
      </c>
      <c r="AZ397" s="7">
        <v>194.1</v>
      </c>
      <c r="BA397" s="62"/>
      <c r="BB397" s="7"/>
      <c r="BC397" s="7"/>
      <c r="BD397" s="7"/>
      <c r="BE397" s="7"/>
      <c r="BF397" s="39"/>
      <c r="BG397" s="7"/>
      <c r="BH397" s="62"/>
      <c r="BI397" s="7"/>
      <c r="BJ397" s="32"/>
      <c r="BK397" s="256"/>
    </row>
    <row r="398" spans="1:63" ht="23.25" customHeight="1" thickBot="1" x14ac:dyDescent="0.25">
      <c r="A398" s="62">
        <v>397</v>
      </c>
      <c r="B398" s="221"/>
      <c r="C398" s="221"/>
      <c r="D398" s="223"/>
      <c r="E398" s="54" t="s">
        <v>395</v>
      </c>
      <c r="F398" s="16">
        <v>79.857142857142861</v>
      </c>
      <c r="G398" s="8">
        <v>11.142857142857142</v>
      </c>
      <c r="H398" s="8">
        <v>0</v>
      </c>
      <c r="I398" s="8">
        <v>0</v>
      </c>
      <c r="J398" s="8">
        <v>0</v>
      </c>
      <c r="K398" s="8">
        <v>0</v>
      </c>
      <c r="L398" s="8">
        <v>1.8571428571428572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17">
        <v>0</v>
      </c>
      <c r="T398" s="8">
        <v>7.1428571428571423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14">
        <f t="shared" si="31"/>
        <v>100</v>
      </c>
      <c r="AE398" s="8">
        <v>0</v>
      </c>
      <c r="AF398" s="8">
        <v>0</v>
      </c>
      <c r="AG398" s="8">
        <v>0</v>
      </c>
      <c r="AH398" s="8">
        <v>0</v>
      </c>
      <c r="AI398" s="39" t="s">
        <v>1531</v>
      </c>
      <c r="AJ398" s="7">
        <v>240</v>
      </c>
      <c r="AK398" s="62">
        <v>1323</v>
      </c>
      <c r="AL398" s="158"/>
      <c r="AM398" s="85"/>
      <c r="AN398" s="85"/>
      <c r="AO398" s="85"/>
      <c r="AP398" s="85"/>
      <c r="AQ398" s="85"/>
      <c r="AR398" s="85"/>
      <c r="AS398" s="85"/>
      <c r="AT398" s="205"/>
      <c r="AU398" s="85"/>
      <c r="AV398" s="196"/>
      <c r="AW398" s="85"/>
      <c r="AX398" s="85"/>
      <c r="AY398" s="39">
        <v>0.01</v>
      </c>
      <c r="AZ398" s="7">
        <v>186</v>
      </c>
      <c r="BA398" s="62"/>
      <c r="BB398" s="7">
        <v>4</v>
      </c>
      <c r="BC398" s="7">
        <v>20.7</v>
      </c>
      <c r="BD398" s="7">
        <v>189.7</v>
      </c>
      <c r="BE398" s="7">
        <v>17.5</v>
      </c>
      <c r="BF398" s="39"/>
      <c r="BG398" s="7"/>
      <c r="BH398" s="62"/>
      <c r="BI398" s="7"/>
      <c r="BJ398" s="32"/>
      <c r="BK398" s="256"/>
    </row>
    <row r="399" spans="1:63" ht="23.25" customHeight="1" thickBot="1" x14ac:dyDescent="0.25">
      <c r="A399" s="7">
        <v>398</v>
      </c>
      <c r="B399" s="221"/>
      <c r="C399" s="221"/>
      <c r="D399" s="223" t="s">
        <v>398</v>
      </c>
      <c r="E399" s="54" t="s">
        <v>394</v>
      </c>
      <c r="F399" s="16">
        <v>80.785714285714278</v>
      </c>
      <c r="G399" s="8">
        <v>11.142857142857142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0.92857142857142838</v>
      </c>
      <c r="Q399" s="8">
        <v>0</v>
      </c>
      <c r="R399" s="8">
        <v>0</v>
      </c>
      <c r="S399" s="17">
        <v>0</v>
      </c>
      <c r="T399" s="8">
        <v>7.1428571428571423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  <c r="AD399" s="14">
        <f t="shared" si="31"/>
        <v>99.999999999999986</v>
      </c>
      <c r="AE399" s="8">
        <v>0</v>
      </c>
      <c r="AF399" s="8">
        <v>0</v>
      </c>
      <c r="AG399" s="8">
        <v>0</v>
      </c>
      <c r="AH399" s="8">
        <v>0</v>
      </c>
      <c r="AI399" s="39" t="s">
        <v>1531</v>
      </c>
      <c r="AJ399" s="7">
        <v>240</v>
      </c>
      <c r="AK399" s="62">
        <v>1323</v>
      </c>
      <c r="AL399" s="158"/>
      <c r="AM399" s="85"/>
      <c r="AN399" s="85"/>
      <c r="AO399" s="85"/>
      <c r="AP399" s="85"/>
      <c r="AQ399" s="85"/>
      <c r="AR399" s="85"/>
      <c r="AS399" s="85"/>
      <c r="AT399" s="205"/>
      <c r="AU399" s="85"/>
      <c r="AV399" s="196"/>
      <c r="AW399" s="85"/>
      <c r="AX399" s="85"/>
      <c r="AY399" s="39">
        <v>0.01</v>
      </c>
      <c r="AZ399" s="7">
        <v>179.9</v>
      </c>
      <c r="BA399" s="62">
        <v>0</v>
      </c>
      <c r="BB399" s="7"/>
      <c r="BC399" s="7"/>
      <c r="BD399" s="7"/>
      <c r="BE399" s="7"/>
      <c r="BF399" s="39"/>
      <c r="BG399" s="7"/>
      <c r="BH399" s="62"/>
      <c r="BI399" s="7"/>
      <c r="BJ399" s="32"/>
      <c r="BK399" s="256"/>
    </row>
    <row r="400" spans="1:63" ht="23.25" customHeight="1" thickBot="1" x14ac:dyDescent="0.25">
      <c r="A400" s="62">
        <v>399</v>
      </c>
      <c r="B400" s="221"/>
      <c r="C400" s="221"/>
      <c r="D400" s="223"/>
      <c r="E400" s="54" t="s">
        <v>395</v>
      </c>
      <c r="F400" s="16">
        <v>79.857142857142861</v>
      </c>
      <c r="G400" s="8">
        <v>11.142857142857142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1.8571428571428572</v>
      </c>
      <c r="Q400" s="8">
        <v>0</v>
      </c>
      <c r="R400" s="8">
        <v>0</v>
      </c>
      <c r="S400" s="17">
        <v>0</v>
      </c>
      <c r="T400" s="8">
        <v>7.1428571428571423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8">
        <v>0</v>
      </c>
      <c r="AD400" s="14">
        <f t="shared" si="31"/>
        <v>100</v>
      </c>
      <c r="AE400" s="8">
        <v>0</v>
      </c>
      <c r="AF400" s="8">
        <v>0</v>
      </c>
      <c r="AG400" s="8">
        <v>0</v>
      </c>
      <c r="AH400" s="8">
        <v>0</v>
      </c>
      <c r="AI400" s="39" t="s">
        <v>1531</v>
      </c>
      <c r="AJ400" s="7">
        <v>240</v>
      </c>
      <c r="AK400" s="62">
        <v>1323</v>
      </c>
      <c r="AL400" s="158"/>
      <c r="AM400" s="85"/>
      <c r="AN400" s="85"/>
      <c r="AO400" s="85"/>
      <c r="AP400" s="85"/>
      <c r="AQ400" s="85"/>
      <c r="AR400" s="85"/>
      <c r="AS400" s="85"/>
      <c r="AT400" s="205"/>
      <c r="AU400" s="85"/>
      <c r="AV400" s="196"/>
      <c r="AW400" s="85"/>
      <c r="AX400" s="85"/>
      <c r="AY400" s="39">
        <v>0.01</v>
      </c>
      <c r="AZ400" s="7">
        <v>158</v>
      </c>
      <c r="BA400" s="62">
        <v>0</v>
      </c>
      <c r="BB400" s="7">
        <v>4</v>
      </c>
      <c r="BC400" s="7">
        <v>15.2</v>
      </c>
      <c r="BD400" s="7">
        <v>163.4</v>
      </c>
      <c r="BE400" s="7">
        <v>21.7</v>
      </c>
      <c r="BF400" s="39"/>
      <c r="BG400" s="7"/>
      <c r="BH400" s="62"/>
      <c r="BI400" s="7"/>
      <c r="BJ400" s="32"/>
      <c r="BK400" s="256"/>
    </row>
    <row r="401" spans="1:63" ht="23.25" customHeight="1" thickBot="1" x14ac:dyDescent="0.25">
      <c r="A401" s="7">
        <v>400</v>
      </c>
      <c r="B401" s="221"/>
      <c r="C401" s="221"/>
      <c r="D401" s="223"/>
      <c r="E401" s="54" t="s">
        <v>396</v>
      </c>
      <c r="F401" s="16">
        <v>78.928571428571431</v>
      </c>
      <c r="G401" s="8">
        <v>11.142857142857142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2.7857142857142856</v>
      </c>
      <c r="Q401" s="8">
        <v>0</v>
      </c>
      <c r="R401" s="8">
        <v>0</v>
      </c>
      <c r="S401" s="17">
        <v>0</v>
      </c>
      <c r="T401" s="8">
        <v>7.1428571428571423</v>
      </c>
      <c r="U401" s="8">
        <v>0</v>
      </c>
      <c r="V401" s="8">
        <v>0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8">
        <v>0</v>
      </c>
      <c r="AD401" s="14">
        <f t="shared" si="31"/>
        <v>100</v>
      </c>
      <c r="AE401" s="8">
        <v>0</v>
      </c>
      <c r="AF401" s="8">
        <v>0</v>
      </c>
      <c r="AG401" s="8">
        <v>0</v>
      </c>
      <c r="AH401" s="8">
        <v>0</v>
      </c>
      <c r="AI401" s="39" t="s">
        <v>1531</v>
      </c>
      <c r="AJ401" s="7">
        <v>240</v>
      </c>
      <c r="AK401" s="62">
        <v>1323</v>
      </c>
      <c r="AL401" s="158"/>
      <c r="AM401" s="85"/>
      <c r="AN401" s="85"/>
      <c r="AO401" s="85"/>
      <c r="AP401" s="85"/>
      <c r="AQ401" s="85"/>
      <c r="AR401" s="85"/>
      <c r="AS401" s="85"/>
      <c r="AT401" s="205"/>
      <c r="AU401" s="85"/>
      <c r="AV401" s="196"/>
      <c r="AW401" s="85"/>
      <c r="AX401" s="85"/>
      <c r="AY401" s="39">
        <v>0.01</v>
      </c>
      <c r="AZ401" s="7">
        <v>135.80000000000001</v>
      </c>
      <c r="BA401" s="62">
        <v>0</v>
      </c>
      <c r="BB401" s="7">
        <v>4</v>
      </c>
      <c r="BC401" s="7">
        <v>11</v>
      </c>
      <c r="BD401" s="7">
        <v>142.1</v>
      </c>
      <c r="BE401" s="7">
        <v>29.7</v>
      </c>
      <c r="BF401" s="39"/>
      <c r="BG401" s="7"/>
      <c r="BH401" s="62"/>
      <c r="BI401" s="7"/>
      <c r="BJ401" s="32"/>
      <c r="BK401" s="256"/>
    </row>
    <row r="402" spans="1:63" ht="23.25" customHeight="1" thickBot="1" x14ac:dyDescent="0.25">
      <c r="A402" s="62">
        <v>401</v>
      </c>
      <c r="B402" s="221"/>
      <c r="C402" s="221"/>
      <c r="D402" s="223" t="s">
        <v>399</v>
      </c>
      <c r="E402" s="54" t="s">
        <v>393</v>
      </c>
      <c r="F402" s="16">
        <f>(0.87-0)*13/14*100</f>
        <v>80.785714285714292</v>
      </c>
      <c r="G402" s="8">
        <f>0.13*13/14*100</f>
        <v>12.071428571428571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17">
        <v>0</v>
      </c>
      <c r="T402" s="8">
        <v>7.1428571428571423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8">
        <v>0</v>
      </c>
      <c r="AD402" s="14">
        <f t="shared" si="31"/>
        <v>100</v>
      </c>
      <c r="AE402" s="8">
        <v>0</v>
      </c>
      <c r="AF402" s="8">
        <v>0</v>
      </c>
      <c r="AG402" s="8">
        <v>0</v>
      </c>
      <c r="AH402" s="8">
        <v>0</v>
      </c>
      <c r="AI402" s="39" t="s">
        <v>1531</v>
      </c>
      <c r="AJ402" s="7">
        <v>240</v>
      </c>
      <c r="AK402" s="62">
        <v>1323</v>
      </c>
      <c r="AL402" s="158"/>
      <c r="AM402" s="85"/>
      <c r="AN402" s="85"/>
      <c r="AO402" s="85"/>
      <c r="AP402" s="85"/>
      <c r="AQ402" s="85"/>
      <c r="AR402" s="85"/>
      <c r="AS402" s="85"/>
      <c r="AT402" s="205"/>
      <c r="AU402" s="85"/>
      <c r="AV402" s="196"/>
      <c r="AW402" s="85"/>
      <c r="AX402" s="85"/>
      <c r="AY402" s="39">
        <v>0.01</v>
      </c>
      <c r="AZ402" s="7">
        <v>203.8</v>
      </c>
      <c r="BA402" s="62"/>
      <c r="BB402" s="7"/>
      <c r="BC402" s="7"/>
      <c r="BD402" s="7"/>
      <c r="BE402" s="7"/>
      <c r="BF402" s="39"/>
      <c r="BG402" s="7"/>
      <c r="BH402" s="62"/>
      <c r="BI402" s="7"/>
      <c r="BJ402" s="32"/>
      <c r="BK402" s="256"/>
    </row>
    <row r="403" spans="1:63" ht="23.25" customHeight="1" thickBot="1" x14ac:dyDescent="0.25">
      <c r="A403" s="7">
        <v>402</v>
      </c>
      <c r="B403" s="221"/>
      <c r="C403" s="221"/>
      <c r="D403" s="223"/>
      <c r="E403" s="54" t="s">
        <v>394</v>
      </c>
      <c r="F403" s="16">
        <f>(0.87-0.01)*13/14*100</f>
        <v>79.857142857142861</v>
      </c>
      <c r="G403" s="8">
        <f>0.13*13/14*100</f>
        <v>12.071428571428571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f>0.01*13/14*100</f>
        <v>0.9285714285714286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17">
        <v>0</v>
      </c>
      <c r="T403" s="8">
        <v>7.1428571428571423</v>
      </c>
      <c r="U403" s="8">
        <v>0</v>
      </c>
      <c r="V403" s="8">
        <v>0</v>
      </c>
      <c r="W403" s="8">
        <v>0</v>
      </c>
      <c r="X403" s="8">
        <v>0</v>
      </c>
      <c r="Y403" s="8">
        <v>0</v>
      </c>
      <c r="Z403" s="8">
        <v>0</v>
      </c>
      <c r="AA403" s="8">
        <v>0</v>
      </c>
      <c r="AB403" s="8">
        <v>0</v>
      </c>
      <c r="AC403" s="8">
        <v>0</v>
      </c>
      <c r="AD403" s="14">
        <f t="shared" si="31"/>
        <v>100</v>
      </c>
      <c r="AE403" s="8">
        <v>0</v>
      </c>
      <c r="AF403" s="8">
        <v>0</v>
      </c>
      <c r="AG403" s="8">
        <v>0</v>
      </c>
      <c r="AH403" s="8">
        <v>0</v>
      </c>
      <c r="AI403" s="39" t="s">
        <v>1531</v>
      </c>
      <c r="AJ403" s="7">
        <v>240</v>
      </c>
      <c r="AK403" s="62">
        <v>1323</v>
      </c>
      <c r="AL403" s="158"/>
      <c r="AM403" s="85"/>
      <c r="AN403" s="85"/>
      <c r="AO403" s="85"/>
      <c r="AP403" s="85"/>
      <c r="AQ403" s="85"/>
      <c r="AR403" s="85"/>
      <c r="AS403" s="85"/>
      <c r="AT403" s="205"/>
      <c r="AU403" s="85"/>
      <c r="AV403" s="196"/>
      <c r="AW403" s="85"/>
      <c r="AX403" s="85"/>
      <c r="AY403" s="39">
        <v>0.01</v>
      </c>
      <c r="AZ403" s="7">
        <v>206</v>
      </c>
      <c r="BA403" s="62"/>
      <c r="BB403" s="7"/>
      <c r="BC403" s="7"/>
      <c r="BD403" s="7"/>
      <c r="BE403" s="7"/>
      <c r="BF403" s="39"/>
      <c r="BG403" s="7"/>
      <c r="BH403" s="62"/>
      <c r="BI403" s="7"/>
      <c r="BJ403" s="32"/>
      <c r="BK403" s="256"/>
    </row>
    <row r="404" spans="1:63" ht="23.25" customHeight="1" thickBot="1" x14ac:dyDescent="0.25">
      <c r="A404" s="62">
        <v>403</v>
      </c>
      <c r="B404" s="221"/>
      <c r="C404" s="221"/>
      <c r="D404" s="223"/>
      <c r="E404" s="54" t="s">
        <v>395</v>
      </c>
      <c r="F404" s="16">
        <f>(0.87-0.02)*13/14*100</f>
        <v>78.928571428571431</v>
      </c>
      <c r="G404" s="8">
        <f t="shared" ref="G404" si="32">0.13*13/14*100</f>
        <v>12.071428571428571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f>0.02*13/14*100</f>
        <v>1.8571428571428572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17">
        <v>0</v>
      </c>
      <c r="T404" s="8">
        <v>7.1428571428571423</v>
      </c>
      <c r="U404" s="8">
        <v>0</v>
      </c>
      <c r="V404" s="8">
        <v>0</v>
      </c>
      <c r="W404" s="8">
        <v>0</v>
      </c>
      <c r="X404" s="8">
        <v>0</v>
      </c>
      <c r="Y404" s="8">
        <v>0</v>
      </c>
      <c r="Z404" s="8">
        <v>0</v>
      </c>
      <c r="AA404" s="8">
        <v>0</v>
      </c>
      <c r="AB404" s="8">
        <v>0</v>
      </c>
      <c r="AC404" s="8">
        <v>0</v>
      </c>
      <c r="AD404" s="14">
        <f t="shared" si="31"/>
        <v>100</v>
      </c>
      <c r="AE404" s="8">
        <v>0</v>
      </c>
      <c r="AF404" s="8">
        <v>0</v>
      </c>
      <c r="AG404" s="8">
        <v>0</v>
      </c>
      <c r="AH404" s="8">
        <v>0</v>
      </c>
      <c r="AI404" s="39" t="s">
        <v>1531</v>
      </c>
      <c r="AJ404" s="7">
        <v>240</v>
      </c>
      <c r="AK404" s="62">
        <v>1323</v>
      </c>
      <c r="AL404" s="158"/>
      <c r="AM404" s="85"/>
      <c r="AN404" s="85"/>
      <c r="AO404" s="85"/>
      <c r="AP404" s="85"/>
      <c r="AQ404" s="85"/>
      <c r="AR404" s="85"/>
      <c r="AS404" s="85"/>
      <c r="AT404" s="205"/>
      <c r="AU404" s="85"/>
      <c r="AV404" s="196"/>
      <c r="AW404" s="85"/>
      <c r="AX404" s="85"/>
      <c r="AY404" s="39">
        <v>0.01</v>
      </c>
      <c r="AZ404" s="7">
        <v>211.9</v>
      </c>
      <c r="BA404" s="62"/>
      <c r="BB404" s="7"/>
      <c r="BC404" s="7"/>
      <c r="BD404" s="7"/>
      <c r="BE404" s="7"/>
      <c r="BF404" s="39"/>
      <c r="BG404" s="7"/>
      <c r="BH404" s="62"/>
      <c r="BI404" s="7"/>
      <c r="BJ404" s="32"/>
      <c r="BK404" s="256"/>
    </row>
    <row r="405" spans="1:63" s="6" customFormat="1" ht="23.25" customHeight="1" thickBot="1" x14ac:dyDescent="0.25">
      <c r="A405" s="7">
        <v>404</v>
      </c>
      <c r="B405" s="222"/>
      <c r="C405" s="222"/>
      <c r="D405" s="13" t="s">
        <v>102</v>
      </c>
      <c r="E405" s="13"/>
      <c r="F405" s="80">
        <v>78.928571428571431</v>
      </c>
      <c r="G405" s="81">
        <v>11.142857142857142</v>
      </c>
      <c r="H405" s="81">
        <v>0</v>
      </c>
      <c r="I405" s="81">
        <v>0</v>
      </c>
      <c r="J405" s="81">
        <v>0</v>
      </c>
      <c r="K405" s="81">
        <v>0</v>
      </c>
      <c r="L405" s="81">
        <v>0</v>
      </c>
      <c r="M405" s="81">
        <v>0</v>
      </c>
      <c r="N405" s="81">
        <v>0</v>
      </c>
      <c r="O405" s="81">
        <v>0</v>
      </c>
      <c r="P405" s="81">
        <v>2.7857142857142856</v>
      </c>
      <c r="Q405" s="81">
        <v>0</v>
      </c>
      <c r="R405" s="81">
        <v>0</v>
      </c>
      <c r="S405" s="82">
        <v>0</v>
      </c>
      <c r="T405" s="81">
        <v>4.6428571428571432</v>
      </c>
      <c r="U405" s="81">
        <v>0</v>
      </c>
      <c r="V405" s="81">
        <v>2.5</v>
      </c>
      <c r="W405" s="81">
        <v>0</v>
      </c>
      <c r="X405" s="81">
        <v>0</v>
      </c>
      <c r="Y405" s="81">
        <v>0</v>
      </c>
      <c r="Z405" s="81">
        <v>0</v>
      </c>
      <c r="AA405" s="81">
        <v>0</v>
      </c>
      <c r="AB405" s="81">
        <v>0</v>
      </c>
      <c r="AC405" s="81">
        <v>0</v>
      </c>
      <c r="AD405" s="83">
        <f t="shared" si="31"/>
        <v>100</v>
      </c>
      <c r="AE405" s="81">
        <v>0</v>
      </c>
      <c r="AF405" s="81">
        <v>0</v>
      </c>
      <c r="AG405" s="81">
        <v>0</v>
      </c>
      <c r="AH405" s="81">
        <v>0</v>
      </c>
      <c r="AI405" s="79" t="s">
        <v>1531</v>
      </c>
      <c r="AJ405" s="65">
        <v>336</v>
      </c>
      <c r="AK405" s="78">
        <v>1423</v>
      </c>
      <c r="AL405" s="200"/>
      <c r="AM405" s="190"/>
      <c r="AN405" s="190"/>
      <c r="AO405" s="190"/>
      <c r="AP405" s="190"/>
      <c r="AQ405" s="190"/>
      <c r="AR405" s="190"/>
      <c r="AS405" s="190"/>
      <c r="AT405" s="201"/>
      <c r="AU405" s="190"/>
      <c r="AV405" s="202"/>
      <c r="AW405" s="190"/>
      <c r="AX405" s="190"/>
      <c r="AY405" s="79">
        <v>1</v>
      </c>
      <c r="AZ405" s="65">
        <v>68</v>
      </c>
      <c r="BA405" s="78">
        <v>6.5</v>
      </c>
      <c r="BB405" s="65">
        <v>4</v>
      </c>
      <c r="BC405" s="65">
        <v>12</v>
      </c>
      <c r="BD405" s="65">
        <v>75.900000000000006</v>
      </c>
      <c r="BE405" s="65">
        <v>35.6</v>
      </c>
      <c r="BF405" s="79"/>
      <c r="BG405" s="65"/>
      <c r="BH405" s="78"/>
      <c r="BI405" s="65"/>
      <c r="BJ405" s="68"/>
      <c r="BK405" s="256"/>
    </row>
    <row r="406" spans="1:63" ht="23.25" customHeight="1" thickBot="1" x14ac:dyDescent="0.25">
      <c r="A406" s="62">
        <v>405</v>
      </c>
      <c r="B406" s="238">
        <v>155</v>
      </c>
      <c r="C406" s="238" t="s">
        <v>1779</v>
      </c>
      <c r="D406" s="225" t="s">
        <v>408</v>
      </c>
      <c r="E406" s="54" t="s">
        <v>291</v>
      </c>
      <c r="F406" s="16">
        <v>82.142857142857139</v>
      </c>
      <c r="G406" s="8">
        <v>10.714285714285714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17">
        <v>0</v>
      </c>
      <c r="T406" s="8">
        <v>5</v>
      </c>
      <c r="U406" s="8">
        <v>0</v>
      </c>
      <c r="V406" s="8">
        <v>0</v>
      </c>
      <c r="W406" s="8">
        <v>2.1428571428571428</v>
      </c>
      <c r="X406" s="8">
        <v>0</v>
      </c>
      <c r="Y406" s="8">
        <v>0</v>
      </c>
      <c r="Z406" s="8">
        <v>0</v>
      </c>
      <c r="AA406" s="8">
        <v>0</v>
      </c>
      <c r="AB406" s="8">
        <v>0</v>
      </c>
      <c r="AC406" s="8">
        <v>0</v>
      </c>
      <c r="AD406" s="14">
        <f t="shared" si="31"/>
        <v>99.999999999999986</v>
      </c>
      <c r="AE406" s="8">
        <v>0</v>
      </c>
      <c r="AF406" s="8">
        <v>0</v>
      </c>
      <c r="AG406" s="8">
        <v>0</v>
      </c>
      <c r="AH406" s="8">
        <v>0</v>
      </c>
      <c r="AI406" s="39" t="s">
        <v>1531</v>
      </c>
      <c r="AJ406" s="7">
        <v>960</v>
      </c>
      <c r="AK406" s="62">
        <v>1373</v>
      </c>
      <c r="AL406" s="158"/>
      <c r="AM406" s="85"/>
      <c r="AN406" s="85"/>
      <c r="AO406" s="85"/>
      <c r="AP406" s="85"/>
      <c r="AQ406" s="85"/>
      <c r="AR406" s="85"/>
      <c r="AS406" s="85"/>
      <c r="AT406" s="205"/>
      <c r="AU406" s="85"/>
      <c r="AV406" s="196"/>
      <c r="AW406" s="85"/>
      <c r="AX406" s="85"/>
      <c r="AY406" s="39">
        <v>0.01</v>
      </c>
      <c r="AZ406" s="7">
        <v>185.5</v>
      </c>
      <c r="BA406" s="62"/>
      <c r="BB406" s="7" t="s">
        <v>524</v>
      </c>
      <c r="BC406" s="7" t="s">
        <v>777</v>
      </c>
      <c r="BD406" s="7" t="s">
        <v>780</v>
      </c>
      <c r="BE406" s="7" t="s">
        <v>784</v>
      </c>
      <c r="BF406" s="39"/>
      <c r="BG406" s="7"/>
      <c r="BH406" s="62"/>
      <c r="BI406" s="7"/>
      <c r="BJ406" s="32"/>
      <c r="BK406" s="256" t="s">
        <v>1771</v>
      </c>
    </row>
    <row r="407" spans="1:63" ht="23.25" customHeight="1" thickBot="1" x14ac:dyDescent="0.25">
      <c r="A407" s="7">
        <v>406</v>
      </c>
      <c r="B407" s="221"/>
      <c r="C407" s="221"/>
      <c r="D407" s="223"/>
      <c r="E407" s="54" t="s">
        <v>269</v>
      </c>
      <c r="F407" s="16">
        <v>81.428571428571431</v>
      </c>
      <c r="G407" s="8">
        <v>11.428571428571429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17">
        <v>0</v>
      </c>
      <c r="T407" s="8">
        <v>5</v>
      </c>
      <c r="U407" s="8">
        <v>0</v>
      </c>
      <c r="V407" s="8">
        <v>0</v>
      </c>
      <c r="W407" s="8">
        <v>2.1428571428571428</v>
      </c>
      <c r="X407" s="8">
        <v>0</v>
      </c>
      <c r="Y407" s="8">
        <v>0</v>
      </c>
      <c r="Z407" s="8">
        <v>0</v>
      </c>
      <c r="AA407" s="8">
        <v>0</v>
      </c>
      <c r="AB407" s="8">
        <v>0</v>
      </c>
      <c r="AC407" s="8">
        <v>0</v>
      </c>
      <c r="AD407" s="14">
        <f t="shared" si="31"/>
        <v>100</v>
      </c>
      <c r="AE407" s="8">
        <v>0</v>
      </c>
      <c r="AF407" s="8">
        <v>0</v>
      </c>
      <c r="AG407" s="8">
        <v>0</v>
      </c>
      <c r="AH407" s="8">
        <v>0</v>
      </c>
      <c r="AI407" s="39" t="s">
        <v>1531</v>
      </c>
      <c r="AJ407" s="7">
        <v>960</v>
      </c>
      <c r="AK407" s="62">
        <v>1373</v>
      </c>
      <c r="AL407" s="158"/>
      <c r="AM407" s="85"/>
      <c r="AN407" s="85"/>
      <c r="AO407" s="85"/>
      <c r="AP407" s="85"/>
      <c r="AQ407" s="85"/>
      <c r="AR407" s="85"/>
      <c r="AS407" s="85"/>
      <c r="AT407" s="205"/>
      <c r="AU407" s="85"/>
      <c r="AV407" s="196"/>
      <c r="AW407" s="85"/>
      <c r="AX407" s="85"/>
      <c r="AY407" s="39">
        <v>0.01</v>
      </c>
      <c r="AZ407" s="7">
        <v>190.1</v>
      </c>
      <c r="BA407" s="62"/>
      <c r="BB407" s="7" t="s">
        <v>524</v>
      </c>
      <c r="BC407" s="7" t="s">
        <v>778</v>
      </c>
      <c r="BD407" s="7" t="s">
        <v>781</v>
      </c>
      <c r="BE407" s="7" t="s">
        <v>785</v>
      </c>
      <c r="BF407" s="39"/>
      <c r="BG407" s="7"/>
      <c r="BH407" s="62"/>
      <c r="BI407" s="7"/>
      <c r="BJ407" s="32"/>
      <c r="BK407" s="256"/>
    </row>
    <row r="408" spans="1:63" ht="23.25" customHeight="1" thickBot="1" x14ac:dyDescent="0.25">
      <c r="A408" s="62">
        <v>407</v>
      </c>
      <c r="B408" s="221"/>
      <c r="C408" s="221"/>
      <c r="D408" s="223"/>
      <c r="E408" s="54" t="s">
        <v>268</v>
      </c>
      <c r="F408" s="16">
        <v>80</v>
      </c>
      <c r="G408" s="8">
        <v>12.857142857142859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17">
        <v>0</v>
      </c>
      <c r="T408" s="8">
        <v>5</v>
      </c>
      <c r="U408" s="8">
        <v>0</v>
      </c>
      <c r="V408" s="8">
        <v>0</v>
      </c>
      <c r="W408" s="8">
        <v>2.1428571428571428</v>
      </c>
      <c r="X408" s="8">
        <v>0</v>
      </c>
      <c r="Y408" s="8">
        <v>0</v>
      </c>
      <c r="Z408" s="8">
        <v>0</v>
      </c>
      <c r="AA408" s="8">
        <v>0</v>
      </c>
      <c r="AB408" s="8">
        <v>0</v>
      </c>
      <c r="AC408" s="8">
        <v>0</v>
      </c>
      <c r="AD408" s="14">
        <f t="shared" si="31"/>
        <v>100</v>
      </c>
      <c r="AE408" s="8">
        <v>0</v>
      </c>
      <c r="AF408" s="8">
        <v>0</v>
      </c>
      <c r="AG408" s="8">
        <v>0</v>
      </c>
      <c r="AH408" s="8">
        <v>0</v>
      </c>
      <c r="AI408" s="39" t="s">
        <v>1531</v>
      </c>
      <c r="AJ408" s="7">
        <v>960</v>
      </c>
      <c r="AK408" s="62">
        <v>1373</v>
      </c>
      <c r="AL408" s="158"/>
      <c r="AM408" s="85"/>
      <c r="AN408" s="85"/>
      <c r="AO408" s="85"/>
      <c r="AP408" s="85"/>
      <c r="AQ408" s="85"/>
      <c r="AR408" s="85"/>
      <c r="AS408" s="85"/>
      <c r="AT408" s="205"/>
      <c r="AU408" s="85"/>
      <c r="AV408" s="196"/>
      <c r="AW408" s="85"/>
      <c r="AX408" s="85"/>
      <c r="AY408" s="39">
        <v>0.01</v>
      </c>
      <c r="AZ408" s="7">
        <v>204.2</v>
      </c>
      <c r="BA408" s="62"/>
      <c r="BB408" s="7" t="s">
        <v>524</v>
      </c>
      <c r="BC408" s="7" t="s">
        <v>779</v>
      </c>
      <c r="BD408" s="7" t="s">
        <v>782</v>
      </c>
      <c r="BE408" s="7" t="s">
        <v>786</v>
      </c>
      <c r="BF408" s="39"/>
      <c r="BG408" s="7"/>
      <c r="BH408" s="62"/>
      <c r="BI408" s="7"/>
      <c r="BJ408" s="32"/>
      <c r="BK408" s="256"/>
    </row>
    <row r="409" spans="1:63" ht="23.25" customHeight="1" thickBot="1" x14ac:dyDescent="0.25">
      <c r="A409" s="7">
        <v>408</v>
      </c>
      <c r="B409" s="222"/>
      <c r="C409" s="222"/>
      <c r="D409" s="224"/>
      <c r="E409" s="54" t="s">
        <v>319</v>
      </c>
      <c r="F409" s="16">
        <v>78.571428571428569</v>
      </c>
      <c r="G409" s="8">
        <v>14.285714285714285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17">
        <v>0</v>
      </c>
      <c r="T409" s="8">
        <v>5</v>
      </c>
      <c r="U409" s="8">
        <v>0</v>
      </c>
      <c r="V409" s="8">
        <v>0</v>
      </c>
      <c r="W409" s="8">
        <v>2.1428571428571428</v>
      </c>
      <c r="X409" s="8">
        <v>0</v>
      </c>
      <c r="Y409" s="8">
        <v>0</v>
      </c>
      <c r="Z409" s="8">
        <v>0</v>
      </c>
      <c r="AA409" s="8">
        <v>0</v>
      </c>
      <c r="AB409" s="8">
        <v>0</v>
      </c>
      <c r="AC409" s="8">
        <v>0</v>
      </c>
      <c r="AD409" s="14">
        <f t="shared" si="31"/>
        <v>100</v>
      </c>
      <c r="AE409" s="8">
        <v>0</v>
      </c>
      <c r="AF409" s="8">
        <v>0</v>
      </c>
      <c r="AG409" s="8">
        <v>0</v>
      </c>
      <c r="AH409" s="8">
        <v>0</v>
      </c>
      <c r="AI409" s="39" t="s">
        <v>1529</v>
      </c>
      <c r="AJ409" s="7">
        <v>96</v>
      </c>
      <c r="AK409" s="62">
        <v>1373</v>
      </c>
      <c r="AL409" s="158"/>
      <c r="AM409" s="85"/>
      <c r="AN409" s="85"/>
      <c r="AO409" s="85"/>
      <c r="AP409" s="85"/>
      <c r="AQ409" s="85"/>
      <c r="AR409" s="85"/>
      <c r="AS409" s="85"/>
      <c r="AT409" s="205"/>
      <c r="AU409" s="85"/>
      <c r="AV409" s="196"/>
      <c r="AW409" s="85"/>
      <c r="AX409" s="85"/>
      <c r="AY409" s="39">
        <v>0.01</v>
      </c>
      <c r="AZ409" s="7">
        <v>218.3</v>
      </c>
      <c r="BA409" s="62"/>
      <c r="BB409" s="7" t="s">
        <v>524</v>
      </c>
      <c r="BC409" s="7" t="s">
        <v>681</v>
      </c>
      <c r="BD409" s="7" t="s">
        <v>783</v>
      </c>
      <c r="BE409" s="7" t="s">
        <v>787</v>
      </c>
      <c r="BF409" s="39"/>
      <c r="BG409" s="7"/>
      <c r="BH409" s="62"/>
      <c r="BI409" s="7"/>
      <c r="BJ409" s="32"/>
      <c r="BK409" s="256"/>
    </row>
    <row r="410" spans="1:63" s="4" customFormat="1" ht="23.25" customHeight="1" thickBot="1" x14ac:dyDescent="0.25">
      <c r="A410" s="62">
        <v>409</v>
      </c>
      <c r="B410" s="238">
        <v>156</v>
      </c>
      <c r="C410" s="238" t="s">
        <v>1780</v>
      </c>
      <c r="D410" s="225" t="s">
        <v>407</v>
      </c>
      <c r="E410" s="12" t="s">
        <v>241</v>
      </c>
      <c r="F410" s="87">
        <v>82.142857142857139</v>
      </c>
      <c r="G410" s="88">
        <v>10.714285714285714</v>
      </c>
      <c r="H410" s="88">
        <v>0</v>
      </c>
      <c r="I410" s="88">
        <v>0</v>
      </c>
      <c r="J410" s="88">
        <v>0</v>
      </c>
      <c r="K410" s="88">
        <v>0</v>
      </c>
      <c r="L410" s="88">
        <v>0</v>
      </c>
      <c r="M410" s="88">
        <v>0</v>
      </c>
      <c r="N410" s="88">
        <v>0</v>
      </c>
      <c r="O410" s="88">
        <v>0</v>
      </c>
      <c r="P410" s="88">
        <v>0</v>
      </c>
      <c r="Q410" s="88">
        <v>0</v>
      </c>
      <c r="R410" s="88">
        <v>0</v>
      </c>
      <c r="S410" s="89">
        <v>0</v>
      </c>
      <c r="T410" s="88">
        <v>5.7142857142857144</v>
      </c>
      <c r="U410" s="88">
        <v>0</v>
      </c>
      <c r="V410" s="88">
        <v>1.4285714285714286</v>
      </c>
      <c r="W410" s="88">
        <v>0</v>
      </c>
      <c r="X410" s="88">
        <v>0</v>
      </c>
      <c r="Y410" s="88">
        <v>0</v>
      </c>
      <c r="Z410" s="88">
        <v>0</v>
      </c>
      <c r="AA410" s="88">
        <v>0</v>
      </c>
      <c r="AB410" s="88">
        <v>0</v>
      </c>
      <c r="AC410" s="88">
        <v>0</v>
      </c>
      <c r="AD410" s="90">
        <f t="shared" si="31"/>
        <v>99.999999999999986</v>
      </c>
      <c r="AE410" s="88">
        <v>0</v>
      </c>
      <c r="AF410" s="88">
        <v>0</v>
      </c>
      <c r="AG410" s="88">
        <v>0</v>
      </c>
      <c r="AH410" s="88">
        <v>0</v>
      </c>
      <c r="AI410" s="156" t="s">
        <v>1531</v>
      </c>
      <c r="AJ410" s="45"/>
      <c r="AK410" s="91"/>
      <c r="AL410" s="197"/>
      <c r="AM410" s="189"/>
      <c r="AN410" s="189"/>
      <c r="AO410" s="189"/>
      <c r="AP410" s="189"/>
      <c r="AQ410" s="189"/>
      <c r="AR410" s="189"/>
      <c r="AS410" s="189"/>
      <c r="AT410" s="198"/>
      <c r="AU410" s="189"/>
      <c r="AV410" s="199"/>
      <c r="AW410" s="189"/>
      <c r="AX410" s="189"/>
      <c r="AY410" s="156">
        <v>0.02</v>
      </c>
      <c r="AZ410" s="45">
        <v>180.1</v>
      </c>
      <c r="BA410" s="91">
        <v>3</v>
      </c>
      <c r="BB410" s="45">
        <v>2</v>
      </c>
      <c r="BC410" s="45">
        <v>25</v>
      </c>
      <c r="BD410" s="45">
        <v>178.6</v>
      </c>
      <c r="BE410" s="45">
        <v>3.4</v>
      </c>
      <c r="BF410" s="156"/>
      <c r="BG410" s="45"/>
      <c r="BH410" s="91"/>
      <c r="BI410" s="45"/>
      <c r="BJ410" s="67"/>
      <c r="BK410" s="256"/>
    </row>
    <row r="411" spans="1:63" ht="23.25" customHeight="1" thickBot="1" x14ac:dyDescent="0.25">
      <c r="A411" s="7">
        <v>410</v>
      </c>
      <c r="B411" s="221"/>
      <c r="C411" s="221"/>
      <c r="D411" s="223"/>
      <c r="E411" s="54" t="s">
        <v>248</v>
      </c>
      <c r="F411" s="16">
        <v>81.428571428571431</v>
      </c>
      <c r="G411" s="8">
        <v>10.714285714285714</v>
      </c>
      <c r="H411" s="8">
        <v>0</v>
      </c>
      <c r="I411" s="8">
        <v>0</v>
      </c>
      <c r="J411" s="8">
        <v>0.7142857142857143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17">
        <v>0</v>
      </c>
      <c r="T411" s="8">
        <v>5.7142857142857144</v>
      </c>
      <c r="U411" s="8">
        <v>0</v>
      </c>
      <c r="V411" s="8">
        <v>1.4285714285714286</v>
      </c>
      <c r="W411" s="8">
        <v>0</v>
      </c>
      <c r="X411" s="8">
        <v>0</v>
      </c>
      <c r="Y411" s="8">
        <v>0</v>
      </c>
      <c r="Z411" s="8">
        <v>0</v>
      </c>
      <c r="AA411" s="8">
        <v>0</v>
      </c>
      <c r="AB411" s="8">
        <v>0</v>
      </c>
      <c r="AC411" s="8">
        <v>0</v>
      </c>
      <c r="AD411" s="14">
        <f t="shared" si="31"/>
        <v>99.999999999999986</v>
      </c>
      <c r="AE411" s="8">
        <v>0</v>
      </c>
      <c r="AF411" s="8">
        <v>0</v>
      </c>
      <c r="AG411" s="8">
        <v>0</v>
      </c>
      <c r="AH411" s="8">
        <v>0</v>
      </c>
      <c r="AI411" s="39" t="s">
        <v>1531</v>
      </c>
      <c r="AJ411" s="7"/>
      <c r="AK411" s="62"/>
      <c r="AL411" s="158"/>
      <c r="AM411" s="85"/>
      <c r="AN411" s="85"/>
      <c r="AO411" s="85"/>
      <c r="AP411" s="85"/>
      <c r="AQ411" s="85"/>
      <c r="AR411" s="85"/>
      <c r="AS411" s="85"/>
      <c r="AT411" s="205"/>
      <c r="AU411" s="85"/>
      <c r="AV411" s="196"/>
      <c r="AW411" s="85"/>
      <c r="AX411" s="85"/>
      <c r="AY411" s="39">
        <v>0.02</v>
      </c>
      <c r="AZ411" s="7">
        <v>193.8</v>
      </c>
      <c r="BA411" s="62">
        <v>3.2</v>
      </c>
      <c r="BB411" s="7">
        <v>2</v>
      </c>
      <c r="BC411" s="7">
        <v>18.600000000000001</v>
      </c>
      <c r="BD411" s="7">
        <v>190.9</v>
      </c>
      <c r="BE411" s="7">
        <v>4.0999999999999996</v>
      </c>
      <c r="BF411" s="39"/>
      <c r="BG411" s="7"/>
      <c r="BH411" s="62"/>
      <c r="BI411" s="7"/>
      <c r="BJ411" s="32"/>
      <c r="BK411" s="256"/>
    </row>
    <row r="412" spans="1:63" ht="23.25" customHeight="1" thickBot="1" x14ac:dyDescent="0.25">
      <c r="A412" s="62">
        <v>411</v>
      </c>
      <c r="B412" s="221"/>
      <c r="C412" s="221"/>
      <c r="D412" s="223"/>
      <c r="E412" s="54" t="s">
        <v>242</v>
      </c>
      <c r="F412" s="16">
        <v>80</v>
      </c>
      <c r="G412" s="8">
        <v>10.714285714285714</v>
      </c>
      <c r="H412" s="8">
        <v>0</v>
      </c>
      <c r="I412" s="8">
        <v>0</v>
      </c>
      <c r="J412" s="8">
        <v>2.1428571428571428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17">
        <v>0</v>
      </c>
      <c r="T412" s="8">
        <v>5.7142857142857144</v>
      </c>
      <c r="U412" s="8">
        <v>0</v>
      </c>
      <c r="V412" s="8">
        <v>1.4285714285714286</v>
      </c>
      <c r="W412" s="8">
        <v>0</v>
      </c>
      <c r="X412" s="8">
        <v>0</v>
      </c>
      <c r="Y412" s="8">
        <v>0</v>
      </c>
      <c r="Z412" s="8">
        <v>0</v>
      </c>
      <c r="AA412" s="8">
        <v>0</v>
      </c>
      <c r="AB412" s="8">
        <v>0</v>
      </c>
      <c r="AC412" s="8">
        <v>0</v>
      </c>
      <c r="AD412" s="14">
        <f t="shared" si="31"/>
        <v>99.999999999999986</v>
      </c>
      <c r="AE412" s="8">
        <v>0</v>
      </c>
      <c r="AF412" s="8">
        <v>0</v>
      </c>
      <c r="AG412" s="8">
        <v>0</v>
      </c>
      <c r="AH412" s="8">
        <v>0</v>
      </c>
      <c r="AI412" s="39" t="s">
        <v>1531</v>
      </c>
      <c r="AJ412" s="7"/>
      <c r="AK412" s="62"/>
      <c r="AL412" s="158"/>
      <c r="AM412" s="85"/>
      <c r="AN412" s="85"/>
      <c r="AO412" s="85"/>
      <c r="AP412" s="85"/>
      <c r="AQ412" s="85"/>
      <c r="AR412" s="85"/>
      <c r="AS412" s="85"/>
      <c r="AT412" s="205"/>
      <c r="AU412" s="85"/>
      <c r="AV412" s="196"/>
      <c r="AW412" s="85"/>
      <c r="AX412" s="85"/>
      <c r="AY412" s="39">
        <v>0.02</v>
      </c>
      <c r="AZ412" s="7">
        <v>215.6</v>
      </c>
      <c r="BA412" s="62">
        <v>2</v>
      </c>
      <c r="BB412" s="7">
        <v>2</v>
      </c>
      <c r="BC412" s="7">
        <v>10.1</v>
      </c>
      <c r="BD412" s="7">
        <v>216.1</v>
      </c>
      <c r="BE412" s="7">
        <v>8.8000000000000007</v>
      </c>
      <c r="BF412" s="39"/>
      <c r="BG412" s="7"/>
      <c r="BH412" s="62"/>
      <c r="BI412" s="7"/>
      <c r="BJ412" s="32"/>
      <c r="BK412" s="256"/>
    </row>
    <row r="413" spans="1:63" ht="23.25" customHeight="1" thickBot="1" x14ac:dyDescent="0.25">
      <c r="A413" s="7">
        <v>412</v>
      </c>
      <c r="B413" s="221"/>
      <c r="C413" s="221"/>
      <c r="D413" s="223"/>
      <c r="E413" s="54" t="s">
        <v>244</v>
      </c>
      <c r="F413" s="16">
        <v>78.571428571428569</v>
      </c>
      <c r="G413" s="8">
        <v>10.714285714285714</v>
      </c>
      <c r="H413" s="8">
        <v>0</v>
      </c>
      <c r="I413" s="8">
        <v>0</v>
      </c>
      <c r="J413" s="8">
        <v>3.5714285714285712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17">
        <v>0</v>
      </c>
      <c r="T413" s="8">
        <v>5.7142857142857144</v>
      </c>
      <c r="U413" s="8">
        <v>0</v>
      </c>
      <c r="V413" s="8">
        <v>1.4285714285714286</v>
      </c>
      <c r="W413" s="8">
        <v>0</v>
      </c>
      <c r="X413" s="8">
        <v>0</v>
      </c>
      <c r="Y413" s="8">
        <v>0</v>
      </c>
      <c r="Z413" s="8">
        <v>0</v>
      </c>
      <c r="AA413" s="8">
        <v>0</v>
      </c>
      <c r="AB413" s="8">
        <v>0</v>
      </c>
      <c r="AC413" s="8">
        <v>0</v>
      </c>
      <c r="AD413" s="14">
        <f t="shared" si="31"/>
        <v>99.999999999999986</v>
      </c>
      <c r="AE413" s="8">
        <v>0</v>
      </c>
      <c r="AF413" s="8">
        <v>0</v>
      </c>
      <c r="AG413" s="8">
        <v>0</v>
      </c>
      <c r="AH413" s="8">
        <v>0</v>
      </c>
      <c r="AI413" s="39" t="s">
        <v>1531</v>
      </c>
      <c r="AJ413" s="7"/>
      <c r="AK413" s="62"/>
      <c r="AL413" s="158"/>
      <c r="AM413" s="85"/>
      <c r="AN413" s="85"/>
      <c r="AO413" s="85"/>
      <c r="AP413" s="85"/>
      <c r="AQ413" s="85"/>
      <c r="AR413" s="85"/>
      <c r="AS413" s="85"/>
      <c r="AT413" s="205"/>
      <c r="AU413" s="85"/>
      <c r="AV413" s="196"/>
      <c r="AW413" s="85"/>
      <c r="AX413" s="85"/>
      <c r="AY413" s="39">
        <v>0.02</v>
      </c>
      <c r="AZ413" s="7">
        <v>240.3</v>
      </c>
      <c r="BA413" s="62">
        <v>1.2</v>
      </c>
      <c r="BB413" s="7">
        <v>2</v>
      </c>
      <c r="BC413" s="7">
        <v>6.75</v>
      </c>
      <c r="BD413" s="7">
        <v>237</v>
      </c>
      <c r="BE413" s="7">
        <v>10.5</v>
      </c>
      <c r="BF413" s="39"/>
      <c r="BG413" s="7"/>
      <c r="BH413" s="62"/>
      <c r="BI413" s="7"/>
      <c r="BJ413" s="32"/>
      <c r="BK413" s="256"/>
    </row>
    <row r="414" spans="1:63" s="6" customFormat="1" ht="23.25" customHeight="1" thickBot="1" x14ac:dyDescent="0.25">
      <c r="A414" s="62">
        <v>413</v>
      </c>
      <c r="B414" s="222"/>
      <c r="C414" s="222"/>
      <c r="D414" s="224"/>
      <c r="E414" s="13" t="s">
        <v>280</v>
      </c>
      <c r="F414" s="80">
        <v>77.142857142857153</v>
      </c>
      <c r="G414" s="81">
        <v>10.714285714285714</v>
      </c>
      <c r="H414" s="81">
        <v>0</v>
      </c>
      <c r="I414" s="81">
        <v>0</v>
      </c>
      <c r="J414" s="81">
        <v>5</v>
      </c>
      <c r="K414" s="81">
        <v>0</v>
      </c>
      <c r="L414" s="81">
        <v>0</v>
      </c>
      <c r="M414" s="81">
        <v>0</v>
      </c>
      <c r="N414" s="81">
        <v>0</v>
      </c>
      <c r="O414" s="81">
        <v>0</v>
      </c>
      <c r="P414" s="81">
        <v>0</v>
      </c>
      <c r="Q414" s="81">
        <v>0</v>
      </c>
      <c r="R414" s="81">
        <v>0</v>
      </c>
      <c r="S414" s="82">
        <v>0</v>
      </c>
      <c r="T414" s="81">
        <v>5.7142857142857144</v>
      </c>
      <c r="U414" s="81">
        <v>0</v>
      </c>
      <c r="V414" s="81">
        <v>1.4285714285714286</v>
      </c>
      <c r="W414" s="81">
        <v>0</v>
      </c>
      <c r="X414" s="81">
        <v>0</v>
      </c>
      <c r="Y414" s="81">
        <v>0</v>
      </c>
      <c r="Z414" s="81">
        <v>0</v>
      </c>
      <c r="AA414" s="81">
        <v>0</v>
      </c>
      <c r="AB414" s="81">
        <v>0</v>
      </c>
      <c r="AC414" s="81">
        <v>0</v>
      </c>
      <c r="AD414" s="83">
        <f t="shared" si="31"/>
        <v>100</v>
      </c>
      <c r="AE414" s="81">
        <v>0</v>
      </c>
      <c r="AF414" s="81">
        <v>0</v>
      </c>
      <c r="AG414" s="81">
        <v>0</v>
      </c>
      <c r="AH414" s="81">
        <v>0</v>
      </c>
      <c r="AI414" s="79" t="s">
        <v>1531</v>
      </c>
      <c r="AJ414" s="65"/>
      <c r="AK414" s="78"/>
      <c r="AL414" s="200"/>
      <c r="AM414" s="190"/>
      <c r="AN414" s="190"/>
      <c r="AO414" s="190"/>
      <c r="AP414" s="190"/>
      <c r="AQ414" s="190"/>
      <c r="AR414" s="190"/>
      <c r="AS414" s="190"/>
      <c r="AT414" s="201"/>
      <c r="AU414" s="190"/>
      <c r="AV414" s="202"/>
      <c r="AW414" s="190"/>
      <c r="AX414" s="190"/>
      <c r="AY414" s="79">
        <v>0.02</v>
      </c>
      <c r="AZ414" s="65">
        <v>265.8</v>
      </c>
      <c r="BA414" s="78">
        <v>0.2</v>
      </c>
      <c r="BB414" s="65">
        <v>2</v>
      </c>
      <c r="BC414" s="65">
        <v>6.5</v>
      </c>
      <c r="BD414" s="65">
        <v>259.39999999999998</v>
      </c>
      <c r="BE414" s="65">
        <v>22.7</v>
      </c>
      <c r="BF414" s="79"/>
      <c r="BG414" s="65"/>
      <c r="BH414" s="78"/>
      <c r="BI414" s="65"/>
      <c r="BJ414" s="68"/>
      <c r="BK414" s="256"/>
    </row>
    <row r="415" spans="1:63" ht="23.25" customHeight="1" thickBot="1" x14ac:dyDescent="0.25">
      <c r="A415" s="7">
        <v>414</v>
      </c>
      <c r="B415" s="238">
        <v>165</v>
      </c>
      <c r="C415" s="238" t="s">
        <v>1781</v>
      </c>
      <c r="D415" s="225" t="s">
        <v>406</v>
      </c>
      <c r="E415" s="54" t="s">
        <v>248</v>
      </c>
      <c r="F415" s="16">
        <v>79.571428571428569</v>
      </c>
      <c r="G415" s="8">
        <v>7.8571428571428559</v>
      </c>
      <c r="H415" s="8">
        <v>0.7142857142857143</v>
      </c>
      <c r="I415" s="8">
        <v>0</v>
      </c>
      <c r="J415" s="8">
        <v>4.7142857142857144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17">
        <v>0</v>
      </c>
      <c r="T415" s="8">
        <v>7.1428571428571423</v>
      </c>
      <c r="U415" s="8">
        <v>0</v>
      </c>
      <c r="V415" s="8">
        <v>0</v>
      </c>
      <c r="W415" s="8">
        <v>0</v>
      </c>
      <c r="X415" s="8">
        <v>0</v>
      </c>
      <c r="Y415" s="8">
        <v>0</v>
      </c>
      <c r="Z415" s="8">
        <v>0</v>
      </c>
      <c r="AA415" s="8">
        <v>0</v>
      </c>
      <c r="AB415" s="8">
        <v>0</v>
      </c>
      <c r="AC415" s="8">
        <v>0</v>
      </c>
      <c r="AD415" s="14">
        <f t="shared" si="31"/>
        <v>99.999999999999986</v>
      </c>
      <c r="AE415" s="8">
        <v>0</v>
      </c>
      <c r="AF415" s="8">
        <v>0</v>
      </c>
      <c r="AG415" s="8">
        <v>0</v>
      </c>
      <c r="AH415" s="8">
        <v>0</v>
      </c>
      <c r="AI415" s="39" t="s">
        <v>1531</v>
      </c>
      <c r="AJ415" s="7">
        <v>360</v>
      </c>
      <c r="AK415" s="62">
        <v>1323</v>
      </c>
      <c r="AL415" s="158">
        <v>87</v>
      </c>
      <c r="AM415" s="85">
        <v>13</v>
      </c>
      <c r="AN415" s="85"/>
      <c r="AO415" s="85"/>
      <c r="AP415" s="85"/>
      <c r="AQ415" s="85"/>
      <c r="AR415" s="85"/>
      <c r="AS415" s="85"/>
      <c r="AT415" s="205"/>
      <c r="AU415" s="85">
        <v>1</v>
      </c>
      <c r="AV415" s="196">
        <f>SUM(AL415:AT415)</f>
        <v>100</v>
      </c>
      <c r="AW415" s="85">
        <v>11.48</v>
      </c>
      <c r="AX415" s="85"/>
      <c r="AY415" s="39">
        <v>0.01</v>
      </c>
      <c r="AZ415" s="7">
        <v>264</v>
      </c>
      <c r="BA415" s="62"/>
      <c r="BB415" s="7" t="s">
        <v>789</v>
      </c>
      <c r="BC415" s="7" t="s">
        <v>790</v>
      </c>
      <c r="BD415" s="7" t="s">
        <v>793</v>
      </c>
      <c r="BE415" s="7" t="s">
        <v>796</v>
      </c>
      <c r="BF415" s="39"/>
      <c r="BG415" s="7"/>
      <c r="BH415" s="62"/>
      <c r="BI415" s="7"/>
      <c r="BJ415" s="32"/>
      <c r="BK415" s="256"/>
    </row>
    <row r="416" spans="1:63" ht="23.25" customHeight="1" thickBot="1" x14ac:dyDescent="0.25">
      <c r="A416" s="62">
        <v>415</v>
      </c>
      <c r="B416" s="221"/>
      <c r="C416" s="221"/>
      <c r="D416" s="223"/>
      <c r="E416" s="54" t="s">
        <v>249</v>
      </c>
      <c r="F416" s="16">
        <v>79.571428571428569</v>
      </c>
      <c r="G416" s="8">
        <v>7.1428571428571423</v>
      </c>
      <c r="H416" s="8">
        <v>1.4285714285714286</v>
      </c>
      <c r="I416" s="8">
        <v>0</v>
      </c>
      <c r="J416" s="8">
        <v>4.7142857142857144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17">
        <v>0</v>
      </c>
      <c r="T416" s="8">
        <v>7.1428571428571423</v>
      </c>
      <c r="U416" s="8">
        <v>0</v>
      </c>
      <c r="V416" s="8">
        <v>0</v>
      </c>
      <c r="W416" s="8">
        <v>0</v>
      </c>
      <c r="X416" s="8">
        <v>0</v>
      </c>
      <c r="Y416" s="8">
        <v>0</v>
      </c>
      <c r="Z416" s="8">
        <v>0</v>
      </c>
      <c r="AA416" s="8">
        <v>0</v>
      </c>
      <c r="AB416" s="8">
        <v>0</v>
      </c>
      <c r="AC416" s="8">
        <v>0</v>
      </c>
      <c r="AD416" s="14">
        <f t="shared" si="31"/>
        <v>99.999999999999986</v>
      </c>
      <c r="AE416" s="8">
        <v>0</v>
      </c>
      <c r="AF416" s="8">
        <v>0</v>
      </c>
      <c r="AG416" s="8">
        <v>0</v>
      </c>
      <c r="AH416" s="8">
        <v>0</v>
      </c>
      <c r="AI416" s="39" t="s">
        <v>1531</v>
      </c>
      <c r="AJ416" s="7">
        <v>360</v>
      </c>
      <c r="AK416" s="62">
        <v>1323</v>
      </c>
      <c r="AL416" s="158">
        <v>91</v>
      </c>
      <c r="AM416" s="85">
        <v>9</v>
      </c>
      <c r="AN416" s="85"/>
      <c r="AO416" s="85"/>
      <c r="AP416" s="85"/>
      <c r="AQ416" s="85"/>
      <c r="AR416" s="85"/>
      <c r="AS416" s="85"/>
      <c r="AT416" s="205"/>
      <c r="AU416" s="85">
        <v>1</v>
      </c>
      <c r="AV416" s="196">
        <f>SUM(AL416:AT416)</f>
        <v>100</v>
      </c>
      <c r="AW416" s="85">
        <v>11.486000000000001</v>
      </c>
      <c r="AX416" s="85"/>
      <c r="AY416" s="39">
        <v>0.01</v>
      </c>
      <c r="AZ416" s="7">
        <v>265</v>
      </c>
      <c r="BA416" s="62"/>
      <c r="BB416" s="7" t="s">
        <v>789</v>
      </c>
      <c r="BC416" s="7" t="s">
        <v>791</v>
      </c>
      <c r="BD416" s="7" t="s">
        <v>794</v>
      </c>
      <c r="BE416" s="7" t="s">
        <v>797</v>
      </c>
      <c r="BF416" s="39"/>
      <c r="BG416" s="7"/>
      <c r="BH416" s="62"/>
      <c r="BI416" s="7"/>
      <c r="BJ416" s="32"/>
      <c r="BK416" s="256"/>
    </row>
    <row r="417" spans="1:63" ht="23.25" customHeight="1" thickBot="1" x14ac:dyDescent="0.25">
      <c r="A417" s="7">
        <v>416</v>
      </c>
      <c r="B417" s="222"/>
      <c r="C417" s="222"/>
      <c r="D417" s="224"/>
      <c r="E417" s="54" t="s">
        <v>242</v>
      </c>
      <c r="F417" s="16">
        <v>79.571428571428569</v>
      </c>
      <c r="G417" s="8">
        <v>6.4285714285714262</v>
      </c>
      <c r="H417" s="8">
        <v>2.1428571428571423</v>
      </c>
      <c r="I417" s="8">
        <v>0</v>
      </c>
      <c r="J417" s="8">
        <v>4.7142857142857135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17">
        <v>0</v>
      </c>
      <c r="T417" s="8">
        <v>7.1428571428571423</v>
      </c>
      <c r="U417" s="8">
        <v>0</v>
      </c>
      <c r="V417" s="8">
        <v>0</v>
      </c>
      <c r="W417" s="8">
        <v>0</v>
      </c>
      <c r="X417" s="8">
        <v>0</v>
      </c>
      <c r="Y417" s="8">
        <v>0</v>
      </c>
      <c r="Z417" s="8">
        <v>0</v>
      </c>
      <c r="AA417" s="8">
        <v>0</v>
      </c>
      <c r="AB417" s="8">
        <v>0</v>
      </c>
      <c r="AC417" s="8">
        <v>0</v>
      </c>
      <c r="AD417" s="14">
        <f t="shared" si="31"/>
        <v>99.999999999999986</v>
      </c>
      <c r="AE417" s="8">
        <v>0</v>
      </c>
      <c r="AF417" s="8">
        <v>0</v>
      </c>
      <c r="AG417" s="8">
        <v>0</v>
      </c>
      <c r="AH417" s="8">
        <v>0</v>
      </c>
      <c r="AI417" s="39" t="s">
        <v>1531</v>
      </c>
      <c r="AJ417" s="7">
        <v>360</v>
      </c>
      <c r="AK417" s="62">
        <v>1323</v>
      </c>
      <c r="AL417" s="158">
        <v>96</v>
      </c>
      <c r="AM417" s="85">
        <v>4</v>
      </c>
      <c r="AN417" s="85"/>
      <c r="AO417" s="85"/>
      <c r="AP417" s="85"/>
      <c r="AQ417" s="85"/>
      <c r="AR417" s="85"/>
      <c r="AS417" s="85"/>
      <c r="AT417" s="205"/>
      <c r="AU417" s="85">
        <v>1</v>
      </c>
      <c r="AV417" s="196">
        <f>SUM(AL417:AT417)</f>
        <v>100</v>
      </c>
      <c r="AW417" s="85">
        <v>11.489000000000001</v>
      </c>
      <c r="AX417" s="85"/>
      <c r="AY417" s="39">
        <v>0.01</v>
      </c>
      <c r="AZ417" s="7">
        <v>266.5</v>
      </c>
      <c r="BA417" s="62"/>
      <c r="BB417" s="7" t="s">
        <v>789</v>
      </c>
      <c r="BC417" s="7" t="s">
        <v>792</v>
      </c>
      <c r="BD417" s="7" t="s">
        <v>795</v>
      </c>
      <c r="BE417" s="7" t="s">
        <v>798</v>
      </c>
      <c r="BF417" s="39"/>
      <c r="BG417" s="7"/>
      <c r="BH417" s="62"/>
      <c r="BI417" s="7"/>
      <c r="BJ417" s="32"/>
      <c r="BK417" s="256"/>
    </row>
    <row r="418" spans="1:63" s="4" customFormat="1" ht="23.25" customHeight="1" thickBot="1" x14ac:dyDescent="0.25">
      <c r="A418" s="62">
        <v>417</v>
      </c>
      <c r="B418" s="238">
        <v>170</v>
      </c>
      <c r="C418" s="238" t="s">
        <v>1782</v>
      </c>
      <c r="D418" s="225" t="s">
        <v>405</v>
      </c>
      <c r="E418" s="12" t="s">
        <v>383</v>
      </c>
      <c r="F418" s="87">
        <v>82.142857142857096</v>
      </c>
      <c r="G418" s="88">
        <v>10.714285714285699</v>
      </c>
      <c r="H418" s="88">
        <v>0</v>
      </c>
      <c r="I418" s="88">
        <v>0</v>
      </c>
      <c r="J418" s="88">
        <v>0</v>
      </c>
      <c r="K418" s="88">
        <v>0</v>
      </c>
      <c r="L418" s="88">
        <v>0</v>
      </c>
      <c r="M418" s="88">
        <v>0</v>
      </c>
      <c r="N418" s="88">
        <v>0</v>
      </c>
      <c r="O418" s="88">
        <v>0</v>
      </c>
      <c r="P418" s="88">
        <v>0</v>
      </c>
      <c r="Q418" s="88">
        <v>0</v>
      </c>
      <c r="R418" s="88">
        <v>0</v>
      </c>
      <c r="S418" s="89">
        <v>0</v>
      </c>
      <c r="T418" s="88">
        <v>7.1428571428571397</v>
      </c>
      <c r="U418" s="88">
        <v>0</v>
      </c>
      <c r="V418" s="88">
        <v>0</v>
      </c>
      <c r="W418" s="88">
        <v>0</v>
      </c>
      <c r="X418" s="88">
        <v>0</v>
      </c>
      <c r="Y418" s="88">
        <v>0</v>
      </c>
      <c r="Z418" s="88">
        <v>0</v>
      </c>
      <c r="AA418" s="88">
        <v>0</v>
      </c>
      <c r="AB418" s="88">
        <v>0</v>
      </c>
      <c r="AC418" s="88">
        <v>0</v>
      </c>
      <c r="AD418" s="90">
        <f t="shared" si="31"/>
        <v>99.999999999999929</v>
      </c>
      <c r="AE418" s="88">
        <v>0</v>
      </c>
      <c r="AF418" s="88">
        <v>0</v>
      </c>
      <c r="AG418" s="88">
        <v>0</v>
      </c>
      <c r="AH418" s="88">
        <v>0</v>
      </c>
      <c r="AI418" s="156" t="s">
        <v>1531</v>
      </c>
      <c r="AJ418" s="45">
        <v>720</v>
      </c>
      <c r="AK418" s="91">
        <v>1373</v>
      </c>
      <c r="AL418" s="197"/>
      <c r="AM418" s="189"/>
      <c r="AN418" s="189"/>
      <c r="AO418" s="189"/>
      <c r="AP418" s="189"/>
      <c r="AQ418" s="189"/>
      <c r="AR418" s="189"/>
      <c r="AS418" s="189"/>
      <c r="AT418" s="198"/>
      <c r="AU418" s="189"/>
      <c r="AV418" s="199"/>
      <c r="AW418" s="189">
        <v>11.468</v>
      </c>
      <c r="AX418" s="189"/>
      <c r="AY418" s="156">
        <v>0.01</v>
      </c>
      <c r="AZ418" s="45">
        <v>195</v>
      </c>
      <c r="BA418" s="91">
        <v>2</v>
      </c>
      <c r="BB418" s="45" t="s">
        <v>524</v>
      </c>
      <c r="BC418" s="45" t="s">
        <v>809</v>
      </c>
      <c r="BD418" s="45" t="s">
        <v>799</v>
      </c>
      <c r="BE418" s="45" t="s">
        <v>804</v>
      </c>
      <c r="BF418" s="156"/>
      <c r="BG418" s="45"/>
      <c r="BH418" s="91"/>
      <c r="BI418" s="45"/>
      <c r="BJ418" s="67"/>
      <c r="BK418" s="256" t="s">
        <v>1771</v>
      </c>
    </row>
    <row r="419" spans="1:63" ht="23.25" customHeight="1" thickBot="1" x14ac:dyDescent="0.25">
      <c r="A419" s="7">
        <v>418</v>
      </c>
      <c r="B419" s="221"/>
      <c r="C419" s="221"/>
      <c r="D419" s="223"/>
      <c r="E419" s="54" t="s">
        <v>382</v>
      </c>
      <c r="F419" s="16">
        <v>82.142857142857096</v>
      </c>
      <c r="G419" s="8">
        <v>10.714285714285699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17">
        <v>0</v>
      </c>
      <c r="T419" s="8">
        <v>6.4285714285714199</v>
      </c>
      <c r="U419" s="8">
        <v>0</v>
      </c>
      <c r="V419" s="8">
        <v>0.71428571428571397</v>
      </c>
      <c r="W419" s="8">
        <v>0</v>
      </c>
      <c r="X419" s="8">
        <v>0</v>
      </c>
      <c r="Y419" s="8">
        <v>0</v>
      </c>
      <c r="Z419" s="8">
        <v>0</v>
      </c>
      <c r="AA419" s="8">
        <v>0</v>
      </c>
      <c r="AB419" s="8">
        <v>0</v>
      </c>
      <c r="AC419" s="8">
        <v>0</v>
      </c>
      <c r="AD419" s="14">
        <f t="shared" si="31"/>
        <v>99.999999999999915</v>
      </c>
      <c r="AE419" s="8">
        <v>0</v>
      </c>
      <c r="AF419" s="8">
        <v>0</v>
      </c>
      <c r="AG419" s="8">
        <v>0</v>
      </c>
      <c r="AH419" s="8">
        <v>0</v>
      </c>
      <c r="AI419" s="39" t="s">
        <v>1531</v>
      </c>
      <c r="AJ419" s="7">
        <v>720</v>
      </c>
      <c r="AK419" s="62">
        <v>1373</v>
      </c>
      <c r="AL419" s="158"/>
      <c r="AM419" s="85"/>
      <c r="AN419" s="85"/>
      <c r="AO419" s="85"/>
      <c r="AP419" s="85"/>
      <c r="AQ419" s="85"/>
      <c r="AR419" s="85"/>
      <c r="AS419" s="85"/>
      <c r="AT419" s="205"/>
      <c r="AU419" s="85"/>
      <c r="AV419" s="196"/>
      <c r="AW419" s="85">
        <v>11.462</v>
      </c>
      <c r="AX419" s="85"/>
      <c r="AY419" s="39">
        <v>0.01</v>
      </c>
      <c r="AZ419" s="7">
        <v>188</v>
      </c>
      <c r="BA419" s="62"/>
      <c r="BB419" s="7" t="s">
        <v>523</v>
      </c>
      <c r="BC419" s="7" t="s">
        <v>810</v>
      </c>
      <c r="BD419" s="7" t="s">
        <v>800</v>
      </c>
      <c r="BE419" s="7" t="s">
        <v>805</v>
      </c>
      <c r="BF419" s="39"/>
      <c r="BG419" s="7"/>
      <c r="BH419" s="62"/>
      <c r="BI419" s="7"/>
      <c r="BJ419" s="32"/>
      <c r="BK419" s="256"/>
    </row>
    <row r="420" spans="1:63" ht="23.25" customHeight="1" thickBot="1" x14ac:dyDescent="0.25">
      <c r="A420" s="62">
        <v>419</v>
      </c>
      <c r="B420" s="221"/>
      <c r="C420" s="221"/>
      <c r="D420" s="223"/>
      <c r="E420" s="54" t="s">
        <v>381</v>
      </c>
      <c r="F420" s="16">
        <v>82.142857142857096</v>
      </c>
      <c r="G420" s="8">
        <v>10.714285714285699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17">
        <v>0</v>
      </c>
      <c r="T420" s="8">
        <v>5.71428571428571</v>
      </c>
      <c r="U420" s="8">
        <v>0</v>
      </c>
      <c r="V420" s="8">
        <v>1.4285714285714199</v>
      </c>
      <c r="W420" s="8">
        <v>0</v>
      </c>
      <c r="X420" s="8">
        <v>0</v>
      </c>
      <c r="Y420" s="8">
        <v>0</v>
      </c>
      <c r="Z420" s="8">
        <v>0</v>
      </c>
      <c r="AA420" s="8">
        <v>0</v>
      </c>
      <c r="AB420" s="8">
        <v>0</v>
      </c>
      <c r="AC420" s="8">
        <v>0</v>
      </c>
      <c r="AD420" s="14">
        <f t="shared" si="31"/>
        <v>99.999999999999915</v>
      </c>
      <c r="AE420" s="8">
        <v>0</v>
      </c>
      <c r="AF420" s="8">
        <v>0</v>
      </c>
      <c r="AG420" s="8">
        <v>0</v>
      </c>
      <c r="AH420" s="8">
        <v>0</v>
      </c>
      <c r="AI420" s="39" t="s">
        <v>1531</v>
      </c>
      <c r="AJ420" s="7">
        <v>720</v>
      </c>
      <c r="AK420" s="62">
        <v>1373</v>
      </c>
      <c r="AL420" s="158"/>
      <c r="AM420" s="85">
        <v>0</v>
      </c>
      <c r="AN420" s="85"/>
      <c r="AO420" s="85"/>
      <c r="AP420" s="85"/>
      <c r="AQ420" s="85"/>
      <c r="AR420" s="85"/>
      <c r="AS420" s="85"/>
      <c r="AT420" s="205"/>
      <c r="AU420" s="85"/>
      <c r="AV420" s="196"/>
      <c r="AW420" s="85">
        <v>11.454000000000001</v>
      </c>
      <c r="AX420" s="85"/>
      <c r="AY420" s="39">
        <v>0.01</v>
      </c>
      <c r="AZ420" s="7">
        <v>179</v>
      </c>
      <c r="BA420" s="62">
        <v>6</v>
      </c>
      <c r="BB420" s="7" t="s">
        <v>523</v>
      </c>
      <c r="BC420" s="7" t="s">
        <v>811</v>
      </c>
      <c r="BD420" s="7" t="s">
        <v>801</v>
      </c>
      <c r="BE420" s="7" t="s">
        <v>806</v>
      </c>
      <c r="BF420" s="39"/>
      <c r="BG420" s="7"/>
      <c r="BH420" s="62"/>
      <c r="BI420" s="7"/>
      <c r="BJ420" s="32"/>
      <c r="BK420" s="256"/>
    </row>
    <row r="421" spans="1:63" ht="23.25" customHeight="1" thickBot="1" x14ac:dyDescent="0.25">
      <c r="A421" s="7">
        <v>420</v>
      </c>
      <c r="B421" s="221"/>
      <c r="C421" s="221"/>
      <c r="D421" s="223"/>
      <c r="E421" s="54" t="s">
        <v>380</v>
      </c>
      <c r="F421" s="16">
        <v>82.142857142857096</v>
      </c>
      <c r="G421" s="8">
        <v>10.714285714285699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17">
        <v>0</v>
      </c>
      <c r="T421" s="8">
        <v>5.71428571428571</v>
      </c>
      <c r="U421" s="8">
        <v>0</v>
      </c>
      <c r="V421" s="8">
        <v>1.4285714285714199</v>
      </c>
      <c r="W421" s="8">
        <v>0</v>
      </c>
      <c r="X421" s="8">
        <v>0</v>
      </c>
      <c r="Y421" s="8">
        <v>0</v>
      </c>
      <c r="Z421" s="8">
        <v>0</v>
      </c>
      <c r="AA421" s="8">
        <v>0</v>
      </c>
      <c r="AB421" s="8">
        <v>0</v>
      </c>
      <c r="AC421" s="8">
        <v>0</v>
      </c>
      <c r="AD421" s="14">
        <f t="shared" si="31"/>
        <v>99.999999999999915</v>
      </c>
      <c r="AE421" s="8">
        <v>0</v>
      </c>
      <c r="AF421" s="8">
        <f>0.2/14*100</f>
        <v>1.4285714285714286</v>
      </c>
      <c r="AG421" s="8">
        <v>0</v>
      </c>
      <c r="AH421" s="8">
        <v>0</v>
      </c>
      <c r="AI421" s="39" t="s">
        <v>1531</v>
      </c>
      <c r="AJ421" s="7">
        <v>720</v>
      </c>
      <c r="AK421" s="62">
        <v>1373</v>
      </c>
      <c r="AL421" s="158"/>
      <c r="AM421" s="85">
        <v>0</v>
      </c>
      <c r="AN421" s="85"/>
      <c r="AO421" s="85"/>
      <c r="AP421" s="85"/>
      <c r="AQ421" s="85"/>
      <c r="AR421" s="85"/>
      <c r="AS421" s="85"/>
      <c r="AT421" s="205"/>
      <c r="AU421" s="85"/>
      <c r="AV421" s="196"/>
      <c r="AW421" s="85">
        <v>11.481999999999999</v>
      </c>
      <c r="AX421" s="85"/>
      <c r="AY421" s="39">
        <v>0.01</v>
      </c>
      <c r="AZ421" s="7">
        <v>207</v>
      </c>
      <c r="BA421" s="62"/>
      <c r="BB421" s="7" t="s">
        <v>524</v>
      </c>
      <c r="BC421" s="7" t="s">
        <v>812</v>
      </c>
      <c r="BD421" s="7" t="s">
        <v>802</v>
      </c>
      <c r="BE421" s="7" t="s">
        <v>807</v>
      </c>
      <c r="BF421" s="39"/>
      <c r="BG421" s="7"/>
      <c r="BH421" s="62"/>
      <c r="BI421" s="7"/>
      <c r="BJ421" s="32"/>
      <c r="BK421" s="256"/>
    </row>
    <row r="422" spans="1:63" s="6" customFormat="1" ht="23.25" customHeight="1" thickBot="1" x14ac:dyDescent="0.25">
      <c r="A422" s="62">
        <v>421</v>
      </c>
      <c r="B422" s="222"/>
      <c r="C422" s="222"/>
      <c r="D422" s="224"/>
      <c r="E422" s="13" t="s">
        <v>379</v>
      </c>
      <c r="F422" s="80">
        <v>82.142857142857096</v>
      </c>
      <c r="G422" s="81">
        <v>10.714285714285699</v>
      </c>
      <c r="H422" s="81">
        <v>0</v>
      </c>
      <c r="I422" s="81">
        <v>0</v>
      </c>
      <c r="J422" s="81">
        <v>0</v>
      </c>
      <c r="K422" s="81">
        <v>0</v>
      </c>
      <c r="L422" s="81">
        <v>0</v>
      </c>
      <c r="M422" s="81">
        <v>0</v>
      </c>
      <c r="N422" s="81">
        <v>0</v>
      </c>
      <c r="O422" s="81">
        <v>0</v>
      </c>
      <c r="P422" s="81">
        <v>0</v>
      </c>
      <c r="Q422" s="81">
        <v>0</v>
      </c>
      <c r="R422" s="81">
        <v>0</v>
      </c>
      <c r="S422" s="82">
        <v>0</v>
      </c>
      <c r="T422" s="81">
        <v>5.71428571428571</v>
      </c>
      <c r="U422" s="81">
        <v>0</v>
      </c>
      <c r="V422" s="81">
        <v>1.4285714285714199</v>
      </c>
      <c r="W422" s="81">
        <v>0</v>
      </c>
      <c r="X422" s="81">
        <v>0</v>
      </c>
      <c r="Y422" s="81">
        <v>0</v>
      </c>
      <c r="Z422" s="81">
        <v>0</v>
      </c>
      <c r="AA422" s="81">
        <v>0</v>
      </c>
      <c r="AB422" s="81">
        <v>0</v>
      </c>
      <c r="AC422" s="81">
        <v>0</v>
      </c>
      <c r="AD422" s="83">
        <f t="shared" si="31"/>
        <v>99.999999999999915</v>
      </c>
      <c r="AE422" s="81">
        <v>0</v>
      </c>
      <c r="AF422" s="81">
        <f>0.4/14*100</f>
        <v>2.8571428571428572</v>
      </c>
      <c r="AG422" s="81">
        <v>0</v>
      </c>
      <c r="AH422" s="81">
        <v>0</v>
      </c>
      <c r="AI422" s="79" t="s">
        <v>1531</v>
      </c>
      <c r="AJ422" s="65">
        <v>720</v>
      </c>
      <c r="AK422" s="78">
        <v>1373</v>
      </c>
      <c r="AL422" s="200"/>
      <c r="AM422" s="190">
        <v>5</v>
      </c>
      <c r="AN422" s="190"/>
      <c r="AO422" s="190"/>
      <c r="AP422" s="190"/>
      <c r="AQ422" s="190"/>
      <c r="AR422" s="190"/>
      <c r="AS422" s="190"/>
      <c r="AT422" s="201"/>
      <c r="AU422" s="190">
        <v>0</v>
      </c>
      <c r="AV422" s="202">
        <f>SUM(AL422:AT422)</f>
        <v>5</v>
      </c>
      <c r="AW422" s="190">
        <v>11.512</v>
      </c>
      <c r="AX422" s="190"/>
      <c r="AY422" s="79">
        <v>0.01</v>
      </c>
      <c r="AZ422" s="65">
        <v>246</v>
      </c>
      <c r="BA422" s="78">
        <v>0</v>
      </c>
      <c r="BB422" s="65" t="s">
        <v>524</v>
      </c>
      <c r="BC422" s="65" t="s">
        <v>813</v>
      </c>
      <c r="BD422" s="65" t="s">
        <v>803</v>
      </c>
      <c r="BE422" s="65" t="s">
        <v>808</v>
      </c>
      <c r="BF422" s="79"/>
      <c r="BG422" s="65"/>
      <c r="BH422" s="78"/>
      <c r="BI422" s="65"/>
      <c r="BJ422" s="68"/>
      <c r="BK422" s="256"/>
    </row>
    <row r="423" spans="1:63" ht="23.25" customHeight="1" thickBot="1" x14ac:dyDescent="0.25">
      <c r="A423" s="7">
        <v>422</v>
      </c>
      <c r="B423" s="238">
        <v>176</v>
      </c>
      <c r="C423" s="238" t="s">
        <v>1783</v>
      </c>
      <c r="D423" s="225" t="s">
        <v>404</v>
      </c>
      <c r="E423" s="54" t="s">
        <v>248</v>
      </c>
      <c r="F423" s="16">
        <v>78.857142857142861</v>
      </c>
      <c r="G423" s="8">
        <v>8.5714285714285712</v>
      </c>
      <c r="H423" s="8">
        <v>0</v>
      </c>
      <c r="I423" s="8">
        <v>0</v>
      </c>
      <c r="J423" s="8">
        <v>4.7142857142857144</v>
      </c>
      <c r="K423" s="8">
        <v>0</v>
      </c>
      <c r="L423" s="8">
        <v>0</v>
      </c>
      <c r="M423" s="8">
        <v>0.7142857142857143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17">
        <v>0</v>
      </c>
      <c r="T423" s="8">
        <v>7.1428571428571423</v>
      </c>
      <c r="U423" s="8">
        <v>0</v>
      </c>
      <c r="V423" s="8">
        <v>0</v>
      </c>
      <c r="W423" s="8">
        <v>0</v>
      </c>
      <c r="X423" s="8">
        <v>0</v>
      </c>
      <c r="Y423" s="8">
        <v>0</v>
      </c>
      <c r="Z423" s="8">
        <v>0</v>
      </c>
      <c r="AA423" s="8">
        <v>0</v>
      </c>
      <c r="AB423" s="8">
        <v>0</v>
      </c>
      <c r="AC423" s="8">
        <v>0</v>
      </c>
      <c r="AD423" s="14">
        <f t="shared" si="31"/>
        <v>99.999999999999986</v>
      </c>
      <c r="AE423" s="8">
        <v>0</v>
      </c>
      <c r="AF423" s="8">
        <v>0</v>
      </c>
      <c r="AG423" s="8">
        <v>0</v>
      </c>
      <c r="AH423" s="8">
        <v>0</v>
      </c>
      <c r="AI423" s="39" t="s">
        <v>1531</v>
      </c>
      <c r="AJ423" s="7">
        <v>320</v>
      </c>
      <c r="AK423" s="62">
        <v>1323</v>
      </c>
      <c r="AL423" s="158">
        <v>85</v>
      </c>
      <c r="AM423" s="85">
        <v>14</v>
      </c>
      <c r="AN423" s="85"/>
      <c r="AO423" s="85"/>
      <c r="AP423" s="85"/>
      <c r="AQ423" s="85">
        <v>1</v>
      </c>
      <c r="AR423" s="85"/>
      <c r="AS423" s="85"/>
      <c r="AT423" s="205"/>
      <c r="AU423" s="85">
        <v>1</v>
      </c>
      <c r="AV423" s="196">
        <f>SUM(AL423:AT423)</f>
        <v>100</v>
      </c>
      <c r="AW423" s="85">
        <v>11.478999999999999</v>
      </c>
      <c r="AX423" s="85">
        <v>11.499000000000001</v>
      </c>
      <c r="AY423" s="39">
        <v>0.25</v>
      </c>
      <c r="AZ423" s="7">
        <v>272.5</v>
      </c>
      <c r="BA423" s="62"/>
      <c r="BB423" s="7" t="s">
        <v>814</v>
      </c>
      <c r="BC423" s="7" t="s">
        <v>815</v>
      </c>
      <c r="BD423" s="7" t="s">
        <v>818</v>
      </c>
      <c r="BE423" s="7" t="s">
        <v>821</v>
      </c>
      <c r="BF423" s="39"/>
      <c r="BG423" s="7"/>
      <c r="BH423" s="62"/>
      <c r="BI423" s="7"/>
      <c r="BJ423" s="32"/>
      <c r="BK423" s="256" t="s">
        <v>8</v>
      </c>
    </row>
    <row r="424" spans="1:63" ht="23.25" customHeight="1" thickBot="1" x14ac:dyDescent="0.25">
      <c r="A424" s="62">
        <v>423</v>
      </c>
      <c r="B424" s="221"/>
      <c r="C424" s="221"/>
      <c r="D424" s="223"/>
      <c r="E424" s="54" t="s">
        <v>249</v>
      </c>
      <c r="F424" s="16">
        <v>78.142857142857153</v>
      </c>
      <c r="G424" s="8">
        <v>8.5714285714285712</v>
      </c>
      <c r="H424" s="8">
        <v>0</v>
      </c>
      <c r="I424" s="8">
        <v>0</v>
      </c>
      <c r="J424" s="8">
        <v>4.7142857142857144</v>
      </c>
      <c r="K424" s="8">
        <v>0</v>
      </c>
      <c r="L424" s="8">
        <v>0</v>
      </c>
      <c r="M424" s="8">
        <v>1.4285714285714286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17">
        <v>0</v>
      </c>
      <c r="T424" s="8">
        <v>7.1428571428571423</v>
      </c>
      <c r="U424" s="8">
        <v>0</v>
      </c>
      <c r="V424" s="8">
        <v>0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8">
        <v>0</v>
      </c>
      <c r="AC424" s="8">
        <v>0</v>
      </c>
      <c r="AD424" s="14">
        <f t="shared" si="31"/>
        <v>100</v>
      </c>
      <c r="AE424" s="8">
        <v>0</v>
      </c>
      <c r="AF424" s="8">
        <v>0</v>
      </c>
      <c r="AG424" s="8">
        <v>0</v>
      </c>
      <c r="AH424" s="8">
        <v>0</v>
      </c>
      <c r="AI424" s="39" t="s">
        <v>1531</v>
      </c>
      <c r="AJ424" s="7">
        <v>320</v>
      </c>
      <c r="AK424" s="62">
        <v>1323</v>
      </c>
      <c r="AL424" s="158">
        <v>86</v>
      </c>
      <c r="AM424" s="85">
        <v>12</v>
      </c>
      <c r="AN424" s="85"/>
      <c r="AO424" s="85"/>
      <c r="AP424" s="85"/>
      <c r="AQ424" s="85">
        <v>2</v>
      </c>
      <c r="AR424" s="85"/>
      <c r="AS424" s="85"/>
      <c r="AT424" s="205"/>
      <c r="AU424" s="85">
        <v>1</v>
      </c>
      <c r="AV424" s="196">
        <f>SUM(AL424:AT424)</f>
        <v>100</v>
      </c>
      <c r="AW424" s="85">
        <v>11.483000000000001</v>
      </c>
      <c r="AX424" s="85">
        <v>11.53</v>
      </c>
      <c r="AY424" s="39">
        <v>0.25</v>
      </c>
      <c r="AZ424" s="7">
        <v>284.89999999999998</v>
      </c>
      <c r="BA424" s="62"/>
      <c r="BB424" s="7" t="s">
        <v>814</v>
      </c>
      <c r="BC424" s="7" t="s">
        <v>816</v>
      </c>
      <c r="BD424" s="7" t="s">
        <v>819</v>
      </c>
      <c r="BE424" s="7" t="s">
        <v>822</v>
      </c>
      <c r="BF424" s="39"/>
      <c r="BG424" s="7"/>
      <c r="BH424" s="62"/>
      <c r="BI424" s="7"/>
      <c r="BJ424" s="32"/>
      <c r="BK424" s="256"/>
    </row>
    <row r="425" spans="1:63" ht="23.25" customHeight="1" thickBot="1" x14ac:dyDescent="0.25">
      <c r="A425" s="7">
        <v>424</v>
      </c>
      <c r="B425" s="222"/>
      <c r="C425" s="222"/>
      <c r="D425" s="224"/>
      <c r="E425" s="54" t="s">
        <v>242</v>
      </c>
      <c r="F425" s="16">
        <v>77.428571428571431</v>
      </c>
      <c r="G425" s="8">
        <v>8.5714285714285712</v>
      </c>
      <c r="H425" s="8">
        <v>0</v>
      </c>
      <c r="I425" s="8">
        <v>0</v>
      </c>
      <c r="J425" s="8">
        <v>4.7142857142857144</v>
      </c>
      <c r="K425" s="8">
        <v>0</v>
      </c>
      <c r="L425" s="8">
        <v>0</v>
      </c>
      <c r="M425" s="8">
        <v>2.1428571428571428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17">
        <v>0</v>
      </c>
      <c r="T425" s="8">
        <v>7.1428571428571423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0</v>
      </c>
      <c r="AC425" s="8">
        <v>0</v>
      </c>
      <c r="AD425" s="14">
        <f t="shared" si="31"/>
        <v>99.999999999999986</v>
      </c>
      <c r="AE425" s="8">
        <v>0</v>
      </c>
      <c r="AF425" s="8">
        <v>0</v>
      </c>
      <c r="AG425" s="8">
        <v>0</v>
      </c>
      <c r="AH425" s="8">
        <v>0</v>
      </c>
      <c r="AI425" s="39" t="s">
        <v>1531</v>
      </c>
      <c r="AJ425" s="7">
        <v>320</v>
      </c>
      <c r="AK425" s="62">
        <v>1323</v>
      </c>
      <c r="AL425" s="158">
        <v>82</v>
      </c>
      <c r="AM425" s="85">
        <v>16</v>
      </c>
      <c r="AN425" s="85"/>
      <c r="AO425" s="85"/>
      <c r="AP425" s="85"/>
      <c r="AQ425" s="85">
        <v>2</v>
      </c>
      <c r="AR425" s="85"/>
      <c r="AS425" s="85"/>
      <c r="AT425" s="205"/>
      <c r="AU425" s="85">
        <v>1</v>
      </c>
      <c r="AV425" s="196">
        <f>SUM(AL425:AT425)</f>
        <v>100</v>
      </c>
      <c r="AW425" s="85">
        <v>11.49</v>
      </c>
      <c r="AX425" s="85">
        <v>11.544</v>
      </c>
      <c r="AY425" s="39">
        <v>0.25</v>
      </c>
      <c r="AZ425" s="7">
        <v>294.2</v>
      </c>
      <c r="BA425" s="62"/>
      <c r="BB425" s="7" t="s">
        <v>814</v>
      </c>
      <c r="BC425" s="7" t="s">
        <v>817</v>
      </c>
      <c r="BD425" s="7" t="s">
        <v>820</v>
      </c>
      <c r="BE425" s="7" t="s">
        <v>823</v>
      </c>
      <c r="BF425" s="39"/>
      <c r="BG425" s="7"/>
      <c r="BH425" s="62"/>
      <c r="BI425" s="7"/>
      <c r="BJ425" s="32"/>
      <c r="BK425" s="256"/>
    </row>
    <row r="426" spans="1:63" s="4" customFormat="1" ht="23.25" customHeight="1" thickBot="1" x14ac:dyDescent="0.25">
      <c r="A426" s="62">
        <v>425</v>
      </c>
      <c r="B426" s="238">
        <v>177</v>
      </c>
      <c r="C426" s="238" t="s">
        <v>1784</v>
      </c>
      <c r="D426" s="225" t="s">
        <v>403</v>
      </c>
      <c r="E426" s="12" t="s">
        <v>400</v>
      </c>
      <c r="F426" s="87">
        <v>81.714285714285708</v>
      </c>
      <c r="G426" s="88">
        <v>11.142857142857142</v>
      </c>
      <c r="H426" s="88">
        <v>0</v>
      </c>
      <c r="I426" s="88">
        <v>0</v>
      </c>
      <c r="J426" s="88">
        <v>0</v>
      </c>
      <c r="K426" s="88">
        <v>0</v>
      </c>
      <c r="L426" s="88">
        <v>0</v>
      </c>
      <c r="M426" s="88">
        <v>0</v>
      </c>
      <c r="N426" s="88">
        <v>0</v>
      </c>
      <c r="O426" s="88">
        <v>0</v>
      </c>
      <c r="P426" s="88">
        <v>0</v>
      </c>
      <c r="Q426" s="88">
        <v>0</v>
      </c>
      <c r="R426" s="88">
        <v>0</v>
      </c>
      <c r="S426" s="89">
        <v>0</v>
      </c>
      <c r="T426" s="88">
        <v>7.1428571428571423</v>
      </c>
      <c r="U426" s="88">
        <v>0</v>
      </c>
      <c r="V426" s="88">
        <v>0</v>
      </c>
      <c r="W426" s="88">
        <v>0</v>
      </c>
      <c r="X426" s="88">
        <v>0</v>
      </c>
      <c r="Y426" s="88">
        <v>0</v>
      </c>
      <c r="Z426" s="88">
        <v>0</v>
      </c>
      <c r="AA426" s="88">
        <v>0</v>
      </c>
      <c r="AB426" s="88">
        <v>0</v>
      </c>
      <c r="AC426" s="88">
        <v>0</v>
      </c>
      <c r="AD426" s="90">
        <f t="shared" si="31"/>
        <v>99.999999999999986</v>
      </c>
      <c r="AE426" s="88">
        <v>0</v>
      </c>
      <c r="AF426" s="88">
        <v>0</v>
      </c>
      <c r="AG426" s="88">
        <v>0</v>
      </c>
      <c r="AH426" s="88">
        <v>0</v>
      </c>
      <c r="AI426" s="156" t="s">
        <v>1531</v>
      </c>
      <c r="AJ426" s="45">
        <v>288</v>
      </c>
      <c r="AK426" s="91">
        <v>1323</v>
      </c>
      <c r="AL426" s="197"/>
      <c r="AM426" s="189"/>
      <c r="AN426" s="189"/>
      <c r="AO426" s="189"/>
      <c r="AP426" s="189"/>
      <c r="AQ426" s="189"/>
      <c r="AR426" s="189"/>
      <c r="AS426" s="189"/>
      <c r="AT426" s="198"/>
      <c r="AU426" s="189"/>
      <c r="AV426" s="199"/>
      <c r="AW426" s="189"/>
      <c r="AX426" s="189"/>
      <c r="AY426" s="156"/>
      <c r="AZ426" s="45"/>
      <c r="BA426" s="91"/>
      <c r="BB426" s="45">
        <v>5</v>
      </c>
      <c r="BC426" s="45">
        <v>20.2</v>
      </c>
      <c r="BD426" s="45">
        <v>205.3</v>
      </c>
      <c r="BE426" s="45">
        <v>24.8</v>
      </c>
      <c r="BF426" s="156"/>
      <c r="BG426" s="45"/>
      <c r="BH426" s="91"/>
      <c r="BI426" s="45"/>
      <c r="BJ426" s="67"/>
      <c r="BK426" s="256"/>
    </row>
    <row r="427" spans="1:63" ht="23.25" customHeight="1" thickBot="1" x14ac:dyDescent="0.25">
      <c r="A427" s="7">
        <v>426</v>
      </c>
      <c r="B427" s="221"/>
      <c r="C427" s="221"/>
      <c r="D427" s="223"/>
      <c r="E427" s="54" t="s">
        <v>401</v>
      </c>
      <c r="F427" s="16">
        <v>81.714285714285708</v>
      </c>
      <c r="G427" s="8">
        <v>6.6857142857142851</v>
      </c>
      <c r="H427" s="8">
        <v>4.4571428571428573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17">
        <v>0</v>
      </c>
      <c r="T427" s="8">
        <v>7.1428571428571423</v>
      </c>
      <c r="U427" s="8">
        <v>0</v>
      </c>
      <c r="V427" s="8">
        <v>0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  <c r="AB427" s="8">
        <v>0</v>
      </c>
      <c r="AC427" s="8">
        <v>0</v>
      </c>
      <c r="AD427" s="14">
        <f t="shared" si="31"/>
        <v>99.999999999999986</v>
      </c>
      <c r="AE427" s="8">
        <v>0</v>
      </c>
      <c r="AF427" s="8">
        <v>0</v>
      </c>
      <c r="AG427" s="8">
        <v>0</v>
      </c>
      <c r="AH427" s="8">
        <v>0</v>
      </c>
      <c r="AI427" s="39" t="s">
        <v>1531</v>
      </c>
      <c r="AJ427" s="7">
        <v>288</v>
      </c>
      <c r="AK427" s="62">
        <v>1323</v>
      </c>
      <c r="AL427" s="158"/>
      <c r="AM427" s="85"/>
      <c r="AN427" s="85"/>
      <c r="AO427" s="85"/>
      <c r="AP427" s="85"/>
      <c r="AQ427" s="85"/>
      <c r="AR427" s="85"/>
      <c r="AS427" s="85"/>
      <c r="AT427" s="205"/>
      <c r="AU427" s="85"/>
      <c r="AV427" s="196"/>
      <c r="AW427" s="85"/>
      <c r="AX427" s="85"/>
      <c r="AY427" s="39"/>
      <c r="AZ427" s="7"/>
      <c r="BA427" s="62"/>
      <c r="BB427" s="7">
        <v>5</v>
      </c>
      <c r="BC427" s="7">
        <v>13.7</v>
      </c>
      <c r="BD427" s="7">
        <v>197.4</v>
      </c>
      <c r="BE427" s="7">
        <v>31.5</v>
      </c>
      <c r="BF427" s="39"/>
      <c r="BG427" s="7"/>
      <c r="BH427" s="62"/>
      <c r="BI427" s="7"/>
      <c r="BJ427" s="32"/>
      <c r="BK427" s="256"/>
    </row>
    <row r="428" spans="1:63" s="6" customFormat="1" ht="23.25" customHeight="1" thickBot="1" x14ac:dyDescent="0.25">
      <c r="A428" s="62">
        <v>427</v>
      </c>
      <c r="B428" s="222"/>
      <c r="C428" s="222"/>
      <c r="D428" s="224"/>
      <c r="E428" s="13" t="s">
        <v>402</v>
      </c>
      <c r="F428" s="80">
        <v>81.714285714285708</v>
      </c>
      <c r="G428" s="81">
        <v>3.6214285714285706</v>
      </c>
      <c r="H428" s="81">
        <v>7.5214285714285705</v>
      </c>
      <c r="I428" s="81">
        <v>0</v>
      </c>
      <c r="J428" s="81">
        <v>0</v>
      </c>
      <c r="K428" s="81">
        <v>0</v>
      </c>
      <c r="L428" s="81">
        <v>0</v>
      </c>
      <c r="M428" s="81">
        <v>0</v>
      </c>
      <c r="N428" s="81">
        <v>0</v>
      </c>
      <c r="O428" s="81">
        <v>0</v>
      </c>
      <c r="P428" s="81">
        <v>0</v>
      </c>
      <c r="Q428" s="81">
        <v>0</v>
      </c>
      <c r="R428" s="81">
        <v>0</v>
      </c>
      <c r="S428" s="82">
        <v>0</v>
      </c>
      <c r="T428" s="81">
        <v>7.1428571428571423</v>
      </c>
      <c r="U428" s="81">
        <v>0</v>
      </c>
      <c r="V428" s="81">
        <v>0</v>
      </c>
      <c r="W428" s="81">
        <v>0</v>
      </c>
      <c r="X428" s="81">
        <v>0</v>
      </c>
      <c r="Y428" s="81">
        <v>0</v>
      </c>
      <c r="Z428" s="81">
        <v>0</v>
      </c>
      <c r="AA428" s="81">
        <v>0</v>
      </c>
      <c r="AB428" s="81">
        <v>0</v>
      </c>
      <c r="AC428" s="81">
        <v>0</v>
      </c>
      <c r="AD428" s="83">
        <f t="shared" si="31"/>
        <v>99.999999999999986</v>
      </c>
      <c r="AE428" s="81">
        <v>0</v>
      </c>
      <c r="AF428" s="81">
        <v>0</v>
      </c>
      <c r="AG428" s="81">
        <v>0</v>
      </c>
      <c r="AH428" s="81">
        <v>0</v>
      </c>
      <c r="AI428" s="79" t="s">
        <v>1531</v>
      </c>
      <c r="AJ428" s="65">
        <v>288</v>
      </c>
      <c r="AK428" s="78">
        <v>1323</v>
      </c>
      <c r="AL428" s="200"/>
      <c r="AM428" s="190"/>
      <c r="AN428" s="190"/>
      <c r="AO428" s="190"/>
      <c r="AP428" s="190"/>
      <c r="AQ428" s="190"/>
      <c r="AR428" s="190"/>
      <c r="AS428" s="190"/>
      <c r="AT428" s="201"/>
      <c r="AU428" s="190"/>
      <c r="AV428" s="202"/>
      <c r="AW428" s="190"/>
      <c r="AX428" s="190"/>
      <c r="AY428" s="79"/>
      <c r="AZ428" s="65"/>
      <c r="BA428" s="78"/>
      <c r="BB428" s="65">
        <v>5</v>
      </c>
      <c r="BC428" s="65">
        <v>9.6999999999999993</v>
      </c>
      <c r="BD428" s="65">
        <v>179.7</v>
      </c>
      <c r="BE428" s="65">
        <v>47.2</v>
      </c>
      <c r="BF428" s="79"/>
      <c r="BG428" s="65"/>
      <c r="BH428" s="78"/>
      <c r="BI428" s="65"/>
      <c r="BJ428" s="68"/>
      <c r="BK428" s="256"/>
    </row>
    <row r="429" spans="1:63" ht="23.25" customHeight="1" thickBot="1" x14ac:dyDescent="0.25">
      <c r="A429" s="7">
        <v>428</v>
      </c>
      <c r="B429" s="238">
        <v>178</v>
      </c>
      <c r="C429" s="238" t="s">
        <v>1785</v>
      </c>
      <c r="D429" s="225" t="s">
        <v>0</v>
      </c>
      <c r="E429" s="54" t="s">
        <v>125</v>
      </c>
      <c r="F429" s="16">
        <v>81.428571428571431</v>
      </c>
      <c r="G429" s="8">
        <v>11.428571428571429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17">
        <v>0</v>
      </c>
      <c r="T429" s="8">
        <v>7.1428571428571423</v>
      </c>
      <c r="U429" s="8">
        <v>0</v>
      </c>
      <c r="V429" s="8">
        <v>0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14">
        <f t="shared" si="31"/>
        <v>100</v>
      </c>
      <c r="AE429" s="8">
        <v>0</v>
      </c>
      <c r="AF429" s="8">
        <v>0</v>
      </c>
      <c r="AG429" s="8">
        <v>0</v>
      </c>
      <c r="AH429" s="8">
        <v>0</v>
      </c>
      <c r="AI429" s="39" t="s">
        <v>1528</v>
      </c>
      <c r="AJ429" s="7">
        <v>0.5</v>
      </c>
      <c r="AK429" s="62">
        <v>1423</v>
      </c>
      <c r="AL429" s="158">
        <v>91</v>
      </c>
      <c r="AM429" s="85">
        <v>5</v>
      </c>
      <c r="AN429" s="85">
        <v>0</v>
      </c>
      <c r="AO429" s="85"/>
      <c r="AP429" s="85"/>
      <c r="AQ429" s="85"/>
      <c r="AR429" s="85">
        <v>2</v>
      </c>
      <c r="AS429" s="85"/>
      <c r="AT429" s="205">
        <v>2</v>
      </c>
      <c r="AU429" s="85">
        <v>0</v>
      </c>
      <c r="AV429" s="196">
        <f t="shared" ref="AV429:AV434" si="33">SUM(AL429:AT429)</f>
        <v>100</v>
      </c>
      <c r="AW429" s="85">
        <v>11.488</v>
      </c>
      <c r="AX429" s="85"/>
      <c r="AY429" s="39">
        <v>1</v>
      </c>
      <c r="AZ429" s="7">
        <v>213</v>
      </c>
      <c r="BA429" s="62">
        <v>3</v>
      </c>
      <c r="BB429" s="7">
        <v>5</v>
      </c>
      <c r="BC429" s="7">
        <v>16.3</v>
      </c>
      <c r="BD429" s="7"/>
      <c r="BE429" s="7">
        <v>23</v>
      </c>
      <c r="BF429" s="39"/>
      <c r="BG429" s="7"/>
      <c r="BH429" s="62"/>
      <c r="BI429" s="7"/>
      <c r="BJ429" s="32"/>
      <c r="BK429" s="256"/>
    </row>
    <row r="430" spans="1:63" ht="23.25" customHeight="1" thickBot="1" x14ac:dyDescent="0.25">
      <c r="A430" s="62">
        <v>429</v>
      </c>
      <c r="B430" s="221"/>
      <c r="C430" s="221"/>
      <c r="D430" s="223"/>
      <c r="E430" s="54" t="s">
        <v>126</v>
      </c>
      <c r="F430" s="16">
        <v>81.428571428571431</v>
      </c>
      <c r="G430" s="8">
        <v>11.428571428571429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17">
        <v>0</v>
      </c>
      <c r="T430" s="8">
        <v>7.1428571428571423</v>
      </c>
      <c r="U430" s="8">
        <v>0</v>
      </c>
      <c r="V430" s="8">
        <v>0</v>
      </c>
      <c r="W430" s="8">
        <v>0</v>
      </c>
      <c r="X430" s="8">
        <v>0</v>
      </c>
      <c r="Y430" s="8">
        <v>0</v>
      </c>
      <c r="Z430" s="8">
        <v>0</v>
      </c>
      <c r="AA430" s="8">
        <v>0</v>
      </c>
      <c r="AB430" s="8">
        <v>0</v>
      </c>
      <c r="AC430" s="8">
        <v>0</v>
      </c>
      <c r="AD430" s="14">
        <f t="shared" si="31"/>
        <v>100</v>
      </c>
      <c r="AE430" s="8">
        <v>0</v>
      </c>
      <c r="AF430" s="8">
        <v>0</v>
      </c>
      <c r="AG430" s="8">
        <v>0</v>
      </c>
      <c r="AH430" s="8">
        <v>0</v>
      </c>
      <c r="AI430" s="39" t="s">
        <v>1528</v>
      </c>
      <c r="AJ430" s="7">
        <v>0.5</v>
      </c>
      <c r="AK430" s="62">
        <v>1423</v>
      </c>
      <c r="AL430" s="158">
        <v>91</v>
      </c>
      <c r="AM430" s="85">
        <v>5</v>
      </c>
      <c r="AN430" s="85">
        <v>0</v>
      </c>
      <c r="AO430" s="85"/>
      <c r="AP430" s="85"/>
      <c r="AQ430" s="85"/>
      <c r="AR430" s="85">
        <v>0</v>
      </c>
      <c r="AS430" s="85"/>
      <c r="AT430" s="205">
        <v>4</v>
      </c>
      <c r="AU430" s="85">
        <v>0</v>
      </c>
      <c r="AV430" s="196">
        <f t="shared" si="33"/>
        <v>100</v>
      </c>
      <c r="AW430" s="85">
        <v>11.497</v>
      </c>
      <c r="AX430" s="85"/>
      <c r="AY430" s="39">
        <v>1</v>
      </c>
      <c r="AZ430" s="7">
        <v>230</v>
      </c>
      <c r="BA430" s="62">
        <v>3</v>
      </c>
      <c r="BB430" s="7">
        <v>5</v>
      </c>
      <c r="BC430" s="7">
        <v>12.3</v>
      </c>
      <c r="BD430" s="7"/>
      <c r="BE430" s="7">
        <v>26</v>
      </c>
      <c r="BF430" s="39"/>
      <c r="BG430" s="7"/>
      <c r="BH430" s="62"/>
      <c r="BI430" s="7">
        <v>6.98</v>
      </c>
      <c r="BJ430" s="32"/>
      <c r="BK430" s="256"/>
    </row>
    <row r="431" spans="1:63" ht="23.25" customHeight="1" thickBot="1" x14ac:dyDescent="0.25">
      <c r="A431" s="7">
        <v>430</v>
      </c>
      <c r="B431" s="221"/>
      <c r="C431" s="221"/>
      <c r="D431" s="223"/>
      <c r="E431" s="54" t="s">
        <v>127</v>
      </c>
      <c r="F431" s="16">
        <v>81.428571428571431</v>
      </c>
      <c r="G431" s="8">
        <v>11.428571428571429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17">
        <v>0</v>
      </c>
      <c r="T431" s="8">
        <v>7.1428571428571423</v>
      </c>
      <c r="U431" s="8">
        <v>0</v>
      </c>
      <c r="V431" s="8">
        <v>0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D431" s="14">
        <f t="shared" si="31"/>
        <v>100</v>
      </c>
      <c r="AE431" s="8">
        <v>0</v>
      </c>
      <c r="AF431" s="8">
        <v>0</v>
      </c>
      <c r="AG431" s="8">
        <v>0</v>
      </c>
      <c r="AH431" s="8">
        <v>0</v>
      </c>
      <c r="AI431" s="39" t="s">
        <v>1528</v>
      </c>
      <c r="AJ431" s="7"/>
      <c r="AK431" s="62"/>
      <c r="AL431" s="158">
        <v>3</v>
      </c>
      <c r="AM431" s="85">
        <v>84</v>
      </c>
      <c r="AN431" s="85">
        <v>13</v>
      </c>
      <c r="AO431" s="85"/>
      <c r="AP431" s="85"/>
      <c r="AQ431" s="85"/>
      <c r="AR431" s="85">
        <v>0</v>
      </c>
      <c r="AS431" s="85"/>
      <c r="AT431" s="205"/>
      <c r="AU431" s="85">
        <v>0</v>
      </c>
      <c r="AV431" s="196">
        <f t="shared" si="33"/>
        <v>100</v>
      </c>
      <c r="AW431" s="85">
        <v>11.499000000000001</v>
      </c>
      <c r="AX431" s="85"/>
      <c r="AY431" s="39"/>
      <c r="AZ431" s="7"/>
      <c r="BA431" s="62"/>
      <c r="BB431" s="7"/>
      <c r="BC431" s="7"/>
      <c r="BD431" s="7"/>
      <c r="BE431" s="7"/>
      <c r="BF431" s="39"/>
      <c r="BG431" s="7"/>
      <c r="BH431" s="62"/>
      <c r="BI431" s="7"/>
      <c r="BJ431" s="32"/>
      <c r="BK431" s="256"/>
    </row>
    <row r="432" spans="1:63" ht="23.25" customHeight="1" thickBot="1" x14ac:dyDescent="0.25">
      <c r="A432" s="62">
        <v>431</v>
      </c>
      <c r="B432" s="221"/>
      <c r="C432" s="221"/>
      <c r="D432" s="223"/>
      <c r="E432" s="54" t="s">
        <v>128</v>
      </c>
      <c r="F432" s="16">
        <v>81.428571428571431</v>
      </c>
      <c r="G432" s="8">
        <v>11.428571428571429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17">
        <v>0</v>
      </c>
      <c r="T432" s="8">
        <v>7.1428571428571423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14">
        <f t="shared" si="31"/>
        <v>100</v>
      </c>
      <c r="AE432" s="8">
        <v>0</v>
      </c>
      <c r="AF432" s="8">
        <v>0</v>
      </c>
      <c r="AG432" s="8">
        <v>0</v>
      </c>
      <c r="AH432" s="8">
        <v>0</v>
      </c>
      <c r="AI432" s="39" t="s">
        <v>1528</v>
      </c>
      <c r="AJ432" s="7"/>
      <c r="AK432" s="62"/>
      <c r="AL432" s="158">
        <v>89</v>
      </c>
      <c r="AM432" s="85">
        <v>9</v>
      </c>
      <c r="AN432" s="85"/>
      <c r="AO432" s="85"/>
      <c r="AP432" s="85"/>
      <c r="AQ432" s="85"/>
      <c r="AR432" s="85">
        <v>1</v>
      </c>
      <c r="AS432" s="85"/>
      <c r="AT432" s="205">
        <v>1</v>
      </c>
      <c r="AU432" s="85">
        <v>0</v>
      </c>
      <c r="AV432" s="196">
        <f t="shared" si="33"/>
        <v>100</v>
      </c>
      <c r="AW432" s="85">
        <v>11.489000000000001</v>
      </c>
      <c r="AX432" s="85"/>
      <c r="AY432" s="39">
        <v>1</v>
      </c>
      <c r="AZ432" s="7">
        <v>219</v>
      </c>
      <c r="BA432" s="62">
        <v>5</v>
      </c>
      <c r="BB432" s="7">
        <v>5</v>
      </c>
      <c r="BC432" s="7">
        <v>10.6</v>
      </c>
      <c r="BD432" s="7"/>
      <c r="BE432" s="7">
        <v>30</v>
      </c>
      <c r="BF432" s="39"/>
      <c r="BG432" s="7"/>
      <c r="BH432" s="62"/>
      <c r="BI432" s="7">
        <v>7.17</v>
      </c>
      <c r="BJ432" s="32"/>
      <c r="BK432" s="256"/>
    </row>
    <row r="433" spans="1:63" ht="23.25" customHeight="1" thickBot="1" x14ac:dyDescent="0.25">
      <c r="A433" s="7">
        <v>432</v>
      </c>
      <c r="B433" s="221"/>
      <c r="C433" s="221"/>
      <c r="D433" s="223"/>
      <c r="E433" s="54" t="s">
        <v>129</v>
      </c>
      <c r="F433" s="16">
        <v>81.428571428571431</v>
      </c>
      <c r="G433" s="8">
        <v>11.428571428571429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17">
        <v>0</v>
      </c>
      <c r="T433" s="8">
        <v>7.1428571428571423</v>
      </c>
      <c r="U433" s="8">
        <v>0</v>
      </c>
      <c r="V433" s="8">
        <v>0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D433" s="14">
        <f t="shared" si="31"/>
        <v>100</v>
      </c>
      <c r="AE433" s="8">
        <v>0</v>
      </c>
      <c r="AF433" s="8">
        <v>0</v>
      </c>
      <c r="AG433" s="8">
        <v>0</v>
      </c>
      <c r="AH433" s="8">
        <v>0</v>
      </c>
      <c r="AI433" s="39" t="s">
        <v>1528</v>
      </c>
      <c r="AJ433" s="7"/>
      <c r="AK433" s="62"/>
      <c r="AL433" s="158">
        <v>46</v>
      </c>
      <c r="AM433" s="85">
        <v>51</v>
      </c>
      <c r="AN433" s="85"/>
      <c r="AO433" s="85"/>
      <c r="AP433" s="85"/>
      <c r="AQ433" s="85"/>
      <c r="AR433" s="85">
        <v>2</v>
      </c>
      <c r="AS433" s="85"/>
      <c r="AT433" s="205">
        <v>1</v>
      </c>
      <c r="AU433" s="85">
        <v>0</v>
      </c>
      <c r="AV433" s="196">
        <f t="shared" si="33"/>
        <v>100</v>
      </c>
      <c r="AW433" s="85">
        <v>11.504</v>
      </c>
      <c r="AX433" s="85"/>
      <c r="AY433" s="39"/>
      <c r="AZ433" s="7"/>
      <c r="BA433" s="62"/>
      <c r="BB433" s="7"/>
      <c r="BC433" s="7"/>
      <c r="BD433" s="7"/>
      <c r="BE433" s="7"/>
      <c r="BF433" s="39"/>
      <c r="BG433" s="7"/>
      <c r="BH433" s="62"/>
      <c r="BI433" s="7"/>
      <c r="BJ433" s="32"/>
      <c r="BK433" s="256"/>
    </row>
    <row r="434" spans="1:63" ht="23.25" customHeight="1" thickBot="1" x14ac:dyDescent="0.25">
      <c r="A434" s="62">
        <v>433</v>
      </c>
      <c r="B434" s="222"/>
      <c r="C434" s="222"/>
      <c r="D434" s="224"/>
      <c r="E434" s="54" t="s">
        <v>130</v>
      </c>
      <c r="F434" s="16">
        <v>81.428571428571431</v>
      </c>
      <c r="G434" s="8">
        <v>11.428571428571429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17">
        <v>0</v>
      </c>
      <c r="T434" s="8">
        <v>7.1428571428571423</v>
      </c>
      <c r="U434" s="8">
        <v>0</v>
      </c>
      <c r="V434" s="8">
        <v>0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  <c r="AD434" s="14">
        <f t="shared" si="31"/>
        <v>100</v>
      </c>
      <c r="AE434" s="8">
        <v>0</v>
      </c>
      <c r="AF434" s="8">
        <v>0</v>
      </c>
      <c r="AG434" s="8">
        <v>0</v>
      </c>
      <c r="AH434" s="8">
        <v>0</v>
      </c>
      <c r="AI434" s="39" t="s">
        <v>1531</v>
      </c>
      <c r="AJ434" s="7">
        <v>720</v>
      </c>
      <c r="AK434" s="62">
        <v>1423</v>
      </c>
      <c r="AL434" s="158">
        <v>92</v>
      </c>
      <c r="AM434" s="85"/>
      <c r="AN434" s="85">
        <v>8</v>
      </c>
      <c r="AO434" s="85"/>
      <c r="AP434" s="85"/>
      <c r="AQ434" s="85"/>
      <c r="AR434" s="85"/>
      <c r="AS434" s="85"/>
      <c r="AT434" s="205"/>
      <c r="AU434" s="85">
        <v>0</v>
      </c>
      <c r="AV434" s="196">
        <f t="shared" si="33"/>
        <v>100</v>
      </c>
      <c r="AW434" s="85">
        <v>11.47</v>
      </c>
      <c r="AX434" s="85"/>
      <c r="AY434" s="39">
        <v>1</v>
      </c>
      <c r="AZ434" s="7">
        <v>201</v>
      </c>
      <c r="BA434" s="62">
        <v>4.5999999999999996</v>
      </c>
      <c r="BB434" s="7">
        <v>5</v>
      </c>
      <c r="BC434" s="7">
        <v>17.8</v>
      </c>
      <c r="BD434" s="7"/>
      <c r="BE434" s="7">
        <v>25</v>
      </c>
      <c r="BF434" s="39"/>
      <c r="BG434" s="7"/>
      <c r="BH434" s="62"/>
      <c r="BI434" s="7"/>
      <c r="BJ434" s="32"/>
      <c r="BK434" s="256"/>
    </row>
    <row r="435" spans="1:63" s="4" customFormat="1" ht="23.25" customHeight="1" thickBot="1" x14ac:dyDescent="0.25">
      <c r="A435" s="7">
        <v>434</v>
      </c>
      <c r="B435" s="238">
        <v>181</v>
      </c>
      <c r="C435" s="238" t="s">
        <v>1786</v>
      </c>
      <c r="D435" s="225" t="s">
        <v>410</v>
      </c>
      <c r="E435" s="12" t="s">
        <v>339</v>
      </c>
      <c r="F435" s="87">
        <v>82.142857142857139</v>
      </c>
      <c r="G435" s="88">
        <v>10</v>
      </c>
      <c r="H435" s="88">
        <v>0</v>
      </c>
      <c r="I435" s="88">
        <v>0</v>
      </c>
      <c r="J435" s="88">
        <v>0.7142857142857143</v>
      </c>
      <c r="K435" s="88">
        <v>0</v>
      </c>
      <c r="L435" s="88">
        <v>0</v>
      </c>
      <c r="M435" s="88">
        <v>0</v>
      </c>
      <c r="N435" s="88">
        <v>0</v>
      </c>
      <c r="O435" s="88">
        <v>0</v>
      </c>
      <c r="P435" s="88">
        <v>0</v>
      </c>
      <c r="Q435" s="88">
        <v>0</v>
      </c>
      <c r="R435" s="88">
        <v>0</v>
      </c>
      <c r="S435" s="89">
        <v>0</v>
      </c>
      <c r="T435" s="88">
        <v>7.1428571428571423</v>
      </c>
      <c r="U435" s="88">
        <v>0</v>
      </c>
      <c r="V435" s="88">
        <v>0</v>
      </c>
      <c r="W435" s="88">
        <v>0</v>
      </c>
      <c r="X435" s="88">
        <v>0</v>
      </c>
      <c r="Y435" s="88">
        <v>0</v>
      </c>
      <c r="Z435" s="88">
        <v>0</v>
      </c>
      <c r="AA435" s="88">
        <v>0</v>
      </c>
      <c r="AB435" s="88">
        <v>0</v>
      </c>
      <c r="AC435" s="88">
        <v>0</v>
      </c>
      <c r="AD435" s="90">
        <f t="shared" si="31"/>
        <v>99.999999999999986</v>
      </c>
      <c r="AE435" s="88">
        <v>0</v>
      </c>
      <c r="AF435" s="88">
        <v>0</v>
      </c>
      <c r="AG435" s="88">
        <v>0</v>
      </c>
      <c r="AH435" s="88">
        <v>0</v>
      </c>
      <c r="AI435" s="156" t="s">
        <v>1531</v>
      </c>
      <c r="AJ435" s="45"/>
      <c r="AK435" s="91"/>
      <c r="AL435" s="197"/>
      <c r="AM435" s="189"/>
      <c r="AN435" s="189"/>
      <c r="AO435" s="189"/>
      <c r="AP435" s="189"/>
      <c r="AQ435" s="189"/>
      <c r="AR435" s="189"/>
      <c r="AS435" s="189"/>
      <c r="AT435" s="198"/>
      <c r="AU435" s="189"/>
      <c r="AV435" s="199"/>
      <c r="AW435" s="189">
        <v>11.484</v>
      </c>
      <c r="AX435" s="189"/>
      <c r="AY435" s="156">
        <v>0.02</v>
      </c>
      <c r="AZ435" s="45">
        <v>207.2</v>
      </c>
      <c r="BA435" s="91">
        <v>5</v>
      </c>
      <c r="BB435" s="45" t="s">
        <v>623</v>
      </c>
      <c r="BC435" s="45" t="s">
        <v>859</v>
      </c>
      <c r="BD435" s="45" t="s">
        <v>862</v>
      </c>
      <c r="BE435" s="45" t="s">
        <v>865</v>
      </c>
      <c r="BF435" s="156"/>
      <c r="BG435" s="45"/>
      <c r="BH435" s="91"/>
      <c r="BI435" s="45"/>
      <c r="BJ435" s="67"/>
      <c r="BK435" s="256"/>
    </row>
    <row r="436" spans="1:63" ht="23.25" customHeight="1" thickBot="1" x14ac:dyDescent="0.25">
      <c r="A436" s="62">
        <v>435</v>
      </c>
      <c r="B436" s="221"/>
      <c r="C436" s="221"/>
      <c r="D436" s="223"/>
      <c r="E436" s="54" t="s">
        <v>337</v>
      </c>
      <c r="F436" s="16">
        <v>80.714285714285708</v>
      </c>
      <c r="G436" s="8">
        <v>10</v>
      </c>
      <c r="H436" s="8">
        <v>0</v>
      </c>
      <c r="I436" s="8">
        <v>0</v>
      </c>
      <c r="J436" s="8">
        <v>2.1428571428571428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17">
        <v>0</v>
      </c>
      <c r="T436" s="8">
        <v>7.1428571428571423</v>
      </c>
      <c r="U436" s="8">
        <v>0</v>
      </c>
      <c r="V436" s="8">
        <v>0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14">
        <f t="shared" si="31"/>
        <v>99.999999999999986</v>
      </c>
      <c r="AE436" s="8">
        <v>0</v>
      </c>
      <c r="AF436" s="8">
        <v>0</v>
      </c>
      <c r="AG436" s="8">
        <v>0</v>
      </c>
      <c r="AH436" s="8">
        <v>0</v>
      </c>
      <c r="AI436" s="39" t="s">
        <v>1531</v>
      </c>
      <c r="AJ436" s="7"/>
      <c r="AK436" s="62"/>
      <c r="AL436" s="158"/>
      <c r="AM436" s="85"/>
      <c r="AN436" s="85"/>
      <c r="AO436" s="85"/>
      <c r="AP436" s="85"/>
      <c r="AQ436" s="85"/>
      <c r="AR436" s="85"/>
      <c r="AS436" s="85"/>
      <c r="AT436" s="205"/>
      <c r="AU436" s="85"/>
      <c r="AV436" s="196"/>
      <c r="AW436" s="85">
        <v>11.474</v>
      </c>
      <c r="AX436" s="85"/>
      <c r="AY436" s="39">
        <v>0.02</v>
      </c>
      <c r="AZ436" s="7">
        <v>225.6</v>
      </c>
      <c r="BA436" s="62">
        <v>1.1000000000000001</v>
      </c>
      <c r="BB436" s="7" t="s">
        <v>623</v>
      </c>
      <c r="BC436" s="7" t="s">
        <v>860</v>
      </c>
      <c r="BD436" s="7" t="s">
        <v>863</v>
      </c>
      <c r="BE436" s="7" t="s">
        <v>866</v>
      </c>
      <c r="BF436" s="39"/>
      <c r="BG436" s="7"/>
      <c r="BH436" s="62"/>
      <c r="BI436" s="7"/>
      <c r="BJ436" s="32"/>
      <c r="BK436" s="256"/>
    </row>
    <row r="437" spans="1:63" ht="23.25" customHeight="1" thickBot="1" x14ac:dyDescent="0.25">
      <c r="A437" s="7">
        <v>436</v>
      </c>
      <c r="B437" s="221"/>
      <c r="C437" s="221"/>
      <c r="D437" s="223"/>
      <c r="E437" s="54" t="s">
        <v>336</v>
      </c>
      <c r="F437" s="16">
        <v>79.285714285714278</v>
      </c>
      <c r="G437" s="8">
        <v>10</v>
      </c>
      <c r="H437" s="8">
        <v>0</v>
      </c>
      <c r="I437" s="8">
        <v>0</v>
      </c>
      <c r="J437" s="8">
        <v>3.5714285714285712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17">
        <v>0</v>
      </c>
      <c r="T437" s="8">
        <v>7.1428571428571423</v>
      </c>
      <c r="U437" s="8">
        <v>0</v>
      </c>
      <c r="V437" s="8">
        <v>0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14">
        <f t="shared" si="31"/>
        <v>99.999999999999986</v>
      </c>
      <c r="AE437" s="8">
        <v>0</v>
      </c>
      <c r="AF437" s="8">
        <v>0</v>
      </c>
      <c r="AG437" s="8">
        <v>0</v>
      </c>
      <c r="AH437" s="8">
        <v>0</v>
      </c>
      <c r="AI437" s="39" t="s">
        <v>1531</v>
      </c>
      <c r="AJ437" s="7"/>
      <c r="AK437" s="62"/>
      <c r="AL437" s="158"/>
      <c r="AM437" s="85"/>
      <c r="AN437" s="85"/>
      <c r="AO437" s="85"/>
      <c r="AP437" s="85"/>
      <c r="AQ437" s="85"/>
      <c r="AR437" s="85"/>
      <c r="AS437" s="85"/>
      <c r="AT437" s="205"/>
      <c r="AU437" s="85"/>
      <c r="AV437" s="196"/>
      <c r="AW437" s="85">
        <v>11.474</v>
      </c>
      <c r="AX437" s="85"/>
      <c r="AY437" s="39">
        <v>0.02</v>
      </c>
      <c r="AZ437" s="7">
        <v>250.1</v>
      </c>
      <c r="BA437" s="62">
        <v>0.1</v>
      </c>
      <c r="BB437" s="7" t="s">
        <v>623</v>
      </c>
      <c r="BC437" s="7" t="s">
        <v>861</v>
      </c>
      <c r="BD437" s="7" t="s">
        <v>864</v>
      </c>
      <c r="BE437" s="7" t="s">
        <v>867</v>
      </c>
      <c r="BF437" s="39"/>
      <c r="BG437" s="7"/>
      <c r="BH437" s="62"/>
      <c r="BI437" s="7"/>
      <c r="BJ437" s="32"/>
      <c r="BK437" s="256"/>
    </row>
    <row r="438" spans="1:63" ht="23.25" customHeight="1" thickBot="1" x14ac:dyDescent="0.25">
      <c r="A438" s="62">
        <v>437</v>
      </c>
      <c r="B438" s="221"/>
      <c r="C438" s="221"/>
      <c r="D438" s="223"/>
      <c r="E438" s="54" t="s">
        <v>289</v>
      </c>
      <c r="F438" s="16">
        <v>77.857142857142861</v>
      </c>
      <c r="G438" s="8">
        <v>10</v>
      </c>
      <c r="H438" s="8">
        <v>0</v>
      </c>
      <c r="I438" s="8">
        <v>0</v>
      </c>
      <c r="J438" s="8">
        <v>5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17">
        <v>0</v>
      </c>
      <c r="T438" s="8">
        <v>7.1428571428571423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D438" s="14">
        <f t="shared" si="31"/>
        <v>100</v>
      </c>
      <c r="AE438" s="8">
        <v>0</v>
      </c>
      <c r="AF438" s="8">
        <v>0</v>
      </c>
      <c r="AG438" s="8">
        <v>0</v>
      </c>
      <c r="AH438" s="8">
        <v>0</v>
      </c>
      <c r="AI438" s="39" t="s">
        <v>1531</v>
      </c>
      <c r="AJ438" s="7"/>
      <c r="AK438" s="62"/>
      <c r="AL438" s="158"/>
      <c r="AM438" s="85"/>
      <c r="AN438" s="85"/>
      <c r="AO438" s="85"/>
      <c r="AP438" s="85"/>
      <c r="AQ438" s="85"/>
      <c r="AR438" s="85"/>
      <c r="AS438" s="85"/>
      <c r="AT438" s="205"/>
      <c r="AU438" s="85"/>
      <c r="AV438" s="196"/>
      <c r="AW438" s="85">
        <v>11.47</v>
      </c>
      <c r="AX438" s="85"/>
      <c r="AY438" s="39">
        <v>0.02</v>
      </c>
      <c r="AZ438" s="7">
        <v>275.89999999999998</v>
      </c>
      <c r="BA438" s="62">
        <v>0.3</v>
      </c>
      <c r="BB438" s="7">
        <v>2</v>
      </c>
      <c r="BC438" s="7">
        <v>5.2</v>
      </c>
      <c r="BD438" s="7">
        <v>271.5</v>
      </c>
      <c r="BE438" s="7">
        <v>23.4</v>
      </c>
      <c r="BF438" s="39"/>
      <c r="BG438" s="7"/>
      <c r="BH438" s="62"/>
      <c r="BI438" s="7"/>
      <c r="BJ438" s="32"/>
      <c r="BK438" s="256"/>
    </row>
    <row r="439" spans="1:63" ht="23.25" customHeight="1" thickBot="1" x14ac:dyDescent="0.25">
      <c r="A439" s="7">
        <v>438</v>
      </c>
      <c r="B439" s="221"/>
      <c r="C439" s="221"/>
      <c r="D439" s="223"/>
      <c r="E439" s="54" t="s">
        <v>409</v>
      </c>
      <c r="F439" s="16">
        <v>77.5</v>
      </c>
      <c r="G439" s="8">
        <v>10</v>
      </c>
      <c r="H439" s="8">
        <v>0</v>
      </c>
      <c r="I439" s="8">
        <v>0</v>
      </c>
      <c r="J439" s="8">
        <v>5.3571428571428568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17">
        <v>0</v>
      </c>
      <c r="T439" s="8">
        <v>7.1428571428571423</v>
      </c>
      <c r="U439" s="8">
        <v>0</v>
      </c>
      <c r="V439" s="8">
        <v>0</v>
      </c>
      <c r="W439" s="8">
        <v>0</v>
      </c>
      <c r="X439" s="8">
        <v>0</v>
      </c>
      <c r="Y439" s="8">
        <v>0</v>
      </c>
      <c r="Z439" s="8">
        <v>0</v>
      </c>
      <c r="AA439" s="8">
        <v>0</v>
      </c>
      <c r="AB439" s="8">
        <v>0</v>
      </c>
      <c r="AC439" s="8">
        <v>0</v>
      </c>
      <c r="AD439" s="14">
        <f t="shared" si="31"/>
        <v>100</v>
      </c>
      <c r="AE439" s="8">
        <v>0</v>
      </c>
      <c r="AF439" s="8">
        <v>0</v>
      </c>
      <c r="AG439" s="8">
        <v>0</v>
      </c>
      <c r="AH439" s="8">
        <v>0</v>
      </c>
      <c r="AI439" s="39" t="s">
        <v>1531</v>
      </c>
      <c r="AJ439" s="7"/>
      <c r="AK439" s="62"/>
      <c r="AL439" s="158"/>
      <c r="AM439" s="85"/>
      <c r="AN439" s="85"/>
      <c r="AO439" s="85"/>
      <c r="AP439" s="85"/>
      <c r="AQ439" s="85"/>
      <c r="AR439" s="85"/>
      <c r="AS439" s="85"/>
      <c r="AT439" s="205"/>
      <c r="AU439" s="85"/>
      <c r="AV439" s="196"/>
      <c r="AW439" s="85">
        <v>11.468999999999999</v>
      </c>
      <c r="AX439" s="85"/>
      <c r="AY439" s="39">
        <v>0.02</v>
      </c>
      <c r="AZ439" s="7">
        <v>281.10000000000002</v>
      </c>
      <c r="BA439" s="62">
        <v>0.2</v>
      </c>
      <c r="BB439" s="7">
        <v>2</v>
      </c>
      <c r="BC439" s="7">
        <v>5.2</v>
      </c>
      <c r="BD439" s="7">
        <v>275.2</v>
      </c>
      <c r="BE439" s="7">
        <v>23.4</v>
      </c>
      <c r="BF439" s="39"/>
      <c r="BG439" s="7"/>
      <c r="BH439" s="62"/>
      <c r="BI439" s="7"/>
      <c r="BJ439" s="32"/>
      <c r="BK439" s="256"/>
    </row>
    <row r="440" spans="1:63" ht="23.25" customHeight="1" thickBot="1" x14ac:dyDescent="0.25">
      <c r="A440" s="62">
        <v>439</v>
      </c>
      <c r="B440" s="221"/>
      <c r="C440" s="221"/>
      <c r="D440" s="223"/>
      <c r="E440" s="54" t="s">
        <v>283</v>
      </c>
      <c r="F440" s="16">
        <v>77.142857142857139</v>
      </c>
      <c r="G440" s="8">
        <v>10</v>
      </c>
      <c r="H440" s="8">
        <v>0</v>
      </c>
      <c r="I440" s="8">
        <v>0</v>
      </c>
      <c r="J440" s="8">
        <v>5.7142857142857144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17">
        <v>0</v>
      </c>
      <c r="T440" s="8">
        <v>7.1428571428571423</v>
      </c>
      <c r="U440" s="8">
        <v>0</v>
      </c>
      <c r="V440" s="8">
        <v>0</v>
      </c>
      <c r="W440" s="8">
        <v>0</v>
      </c>
      <c r="X440" s="8">
        <v>0</v>
      </c>
      <c r="Y440" s="8">
        <v>0</v>
      </c>
      <c r="Z440" s="8">
        <v>0</v>
      </c>
      <c r="AA440" s="8">
        <v>0</v>
      </c>
      <c r="AB440" s="8">
        <v>0</v>
      </c>
      <c r="AC440" s="8">
        <v>0</v>
      </c>
      <c r="AD440" s="14">
        <f t="shared" si="31"/>
        <v>99.999999999999986</v>
      </c>
      <c r="AE440" s="8">
        <v>0</v>
      </c>
      <c r="AF440" s="8">
        <v>0</v>
      </c>
      <c r="AG440" s="8">
        <v>0</v>
      </c>
      <c r="AH440" s="8">
        <v>0</v>
      </c>
      <c r="AI440" s="39" t="s">
        <v>1531</v>
      </c>
      <c r="AJ440" s="7"/>
      <c r="AK440" s="62"/>
      <c r="AL440" s="158"/>
      <c r="AM440" s="85"/>
      <c r="AN440" s="85"/>
      <c r="AO440" s="85"/>
      <c r="AP440" s="85"/>
      <c r="AQ440" s="85"/>
      <c r="AR440" s="85"/>
      <c r="AS440" s="85"/>
      <c r="AT440" s="205"/>
      <c r="AU440" s="85"/>
      <c r="AV440" s="196"/>
      <c r="AW440" s="85">
        <v>11.496</v>
      </c>
      <c r="AX440" s="85"/>
      <c r="AY440" s="39">
        <v>0.02</v>
      </c>
      <c r="AZ440" s="7">
        <v>285.60000000000002</v>
      </c>
      <c r="BA440" s="62">
        <v>0</v>
      </c>
      <c r="BB440" s="7" t="s">
        <v>623</v>
      </c>
      <c r="BC440" s="7" t="s">
        <v>868</v>
      </c>
      <c r="BD440" s="7" t="s">
        <v>869</v>
      </c>
      <c r="BE440" s="85" t="s">
        <v>1894</v>
      </c>
      <c r="BF440" s="39"/>
      <c r="BG440" s="7"/>
      <c r="BH440" s="62"/>
      <c r="BI440" s="7"/>
      <c r="BJ440" s="32"/>
      <c r="BK440" s="256"/>
    </row>
    <row r="441" spans="1:63" s="6" customFormat="1" ht="23.25" customHeight="1" thickBot="1" x14ac:dyDescent="0.25">
      <c r="A441" s="7">
        <v>440</v>
      </c>
      <c r="B441" s="222"/>
      <c r="C441" s="222"/>
      <c r="D441" s="224"/>
      <c r="E441" s="13" t="s">
        <v>334</v>
      </c>
      <c r="F441" s="80">
        <v>82.857142857142847</v>
      </c>
      <c r="G441" s="81">
        <v>10</v>
      </c>
      <c r="H441" s="81">
        <v>0</v>
      </c>
      <c r="I441" s="81">
        <v>0</v>
      </c>
      <c r="J441" s="81">
        <v>0</v>
      </c>
      <c r="K441" s="81">
        <v>0</v>
      </c>
      <c r="L441" s="81">
        <v>0</v>
      </c>
      <c r="M441" s="81">
        <v>0</v>
      </c>
      <c r="N441" s="81">
        <v>0</v>
      </c>
      <c r="O441" s="81">
        <v>0</v>
      </c>
      <c r="P441" s="81">
        <v>0</v>
      </c>
      <c r="Q441" s="81">
        <v>0</v>
      </c>
      <c r="R441" s="81">
        <v>0</v>
      </c>
      <c r="S441" s="82">
        <v>0</v>
      </c>
      <c r="T441" s="81">
        <v>7.1428571428571423</v>
      </c>
      <c r="U441" s="81">
        <v>0</v>
      </c>
      <c r="V441" s="81">
        <v>0</v>
      </c>
      <c r="W441" s="81">
        <v>0</v>
      </c>
      <c r="X441" s="81">
        <v>0</v>
      </c>
      <c r="Y441" s="81">
        <v>0</v>
      </c>
      <c r="Z441" s="81">
        <v>0</v>
      </c>
      <c r="AA441" s="81">
        <v>0</v>
      </c>
      <c r="AB441" s="81">
        <v>0</v>
      </c>
      <c r="AC441" s="81">
        <v>0</v>
      </c>
      <c r="AD441" s="83">
        <f t="shared" si="31"/>
        <v>99.999999999999986</v>
      </c>
      <c r="AE441" s="81">
        <v>0</v>
      </c>
      <c r="AF441" s="81">
        <v>0</v>
      </c>
      <c r="AG441" s="81">
        <v>0</v>
      </c>
      <c r="AH441" s="81">
        <v>0</v>
      </c>
      <c r="AI441" s="79" t="s">
        <v>1531</v>
      </c>
      <c r="AJ441" s="65"/>
      <c r="AK441" s="78"/>
      <c r="AL441" s="200"/>
      <c r="AM441" s="190"/>
      <c r="AN441" s="190"/>
      <c r="AO441" s="190"/>
      <c r="AP441" s="190"/>
      <c r="AQ441" s="190"/>
      <c r="AR441" s="190"/>
      <c r="AS441" s="190"/>
      <c r="AT441" s="201"/>
      <c r="AU441" s="190"/>
      <c r="AV441" s="202"/>
      <c r="AW441" s="190"/>
      <c r="AX441" s="190"/>
      <c r="AY441" s="79"/>
      <c r="AZ441" s="65">
        <v>195</v>
      </c>
      <c r="BA441" s="78">
        <v>6.2</v>
      </c>
      <c r="BB441" s="65"/>
      <c r="BC441" s="65"/>
      <c r="BD441" s="65"/>
      <c r="BE441" s="65"/>
      <c r="BF441" s="79"/>
      <c r="BG441" s="65"/>
      <c r="BH441" s="78"/>
      <c r="BI441" s="65"/>
      <c r="BJ441" s="68"/>
      <c r="BK441" s="256"/>
    </row>
    <row r="442" spans="1:63" ht="23.25" customHeight="1" thickBot="1" x14ac:dyDescent="0.25">
      <c r="A442" s="62">
        <v>441</v>
      </c>
      <c r="B442" s="238">
        <v>182</v>
      </c>
      <c r="C442" s="238" t="s">
        <v>1787</v>
      </c>
      <c r="D442" s="225" t="s">
        <v>418</v>
      </c>
      <c r="E442" s="54" t="s">
        <v>338</v>
      </c>
      <c r="F442" s="16">
        <v>81.428571428571431</v>
      </c>
      <c r="G442" s="8">
        <v>11.428571428571429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17">
        <v>0</v>
      </c>
      <c r="T442" s="8">
        <v>5.7142857142857144</v>
      </c>
      <c r="U442" s="8">
        <v>0</v>
      </c>
      <c r="V442" s="8">
        <v>0</v>
      </c>
      <c r="W442" s="8">
        <v>0</v>
      </c>
      <c r="X442" s="8">
        <v>0</v>
      </c>
      <c r="Y442" s="8">
        <v>0</v>
      </c>
      <c r="Z442" s="8">
        <v>1.4285714285714286</v>
      </c>
      <c r="AA442" s="8">
        <v>0</v>
      </c>
      <c r="AB442" s="8">
        <v>0</v>
      </c>
      <c r="AC442" s="8">
        <v>0</v>
      </c>
      <c r="AD442" s="14">
        <f t="shared" si="31"/>
        <v>100</v>
      </c>
      <c r="AE442" s="8">
        <v>0</v>
      </c>
      <c r="AF442" s="8">
        <v>0</v>
      </c>
      <c r="AG442" s="8">
        <v>0</v>
      </c>
      <c r="AH442" s="8">
        <v>0</v>
      </c>
      <c r="AI442" s="39" t="s">
        <v>1531</v>
      </c>
      <c r="AJ442" s="7">
        <v>168</v>
      </c>
      <c r="AK442" s="62">
        <v>1373</v>
      </c>
      <c r="AL442" s="158"/>
      <c r="AM442" s="85"/>
      <c r="AN442" s="85"/>
      <c r="AO442" s="85"/>
      <c r="AP442" s="85"/>
      <c r="AQ442" s="85"/>
      <c r="AR442" s="85"/>
      <c r="AS442" s="85"/>
      <c r="AT442" s="205"/>
      <c r="AU442" s="85"/>
      <c r="AV442" s="196"/>
      <c r="AW442" s="85"/>
      <c r="AX442" s="85"/>
      <c r="AY442" s="39"/>
      <c r="AZ442" s="7"/>
      <c r="BA442" s="62"/>
      <c r="BB442" s="7" t="s">
        <v>1238</v>
      </c>
      <c r="BC442" s="7" t="s">
        <v>1891</v>
      </c>
      <c r="BD442" s="7" t="s">
        <v>1892</v>
      </c>
      <c r="BE442" s="85" t="s">
        <v>1893</v>
      </c>
      <c r="BF442" s="39"/>
      <c r="BG442" s="7"/>
      <c r="BH442" s="62"/>
      <c r="BI442" s="7"/>
      <c r="BJ442" s="32"/>
      <c r="BK442" s="256"/>
    </row>
    <row r="443" spans="1:63" ht="23.25" customHeight="1" thickBot="1" x14ac:dyDescent="0.25">
      <c r="A443" s="7">
        <v>442</v>
      </c>
      <c r="B443" s="222"/>
      <c r="C443" s="222"/>
      <c r="D443" s="224"/>
      <c r="E443" s="54" t="s">
        <v>412</v>
      </c>
      <c r="F443" s="16">
        <v>81.428571428571431</v>
      </c>
      <c r="G443" s="8">
        <v>11.428571428571429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17">
        <v>0</v>
      </c>
      <c r="T443" s="8">
        <v>6.7857142857142856</v>
      </c>
      <c r="U443" s="8">
        <v>0</v>
      </c>
      <c r="V443" s="8">
        <v>0</v>
      </c>
      <c r="W443" s="8">
        <v>0</v>
      </c>
      <c r="X443" s="8">
        <v>0</v>
      </c>
      <c r="Y443" s="8">
        <v>0</v>
      </c>
      <c r="Z443" s="8">
        <v>0.35714285714285715</v>
      </c>
      <c r="AA443" s="8">
        <v>0</v>
      </c>
      <c r="AB443" s="8">
        <v>0</v>
      </c>
      <c r="AC443" s="8">
        <v>0</v>
      </c>
      <c r="AD443" s="14">
        <f t="shared" si="31"/>
        <v>100.00000000000001</v>
      </c>
      <c r="AE443" s="8">
        <v>0</v>
      </c>
      <c r="AF443" s="8">
        <v>0</v>
      </c>
      <c r="AG443" s="8">
        <v>0</v>
      </c>
      <c r="AH443" s="8">
        <v>0</v>
      </c>
      <c r="AI443" s="39" t="s">
        <v>1531</v>
      </c>
      <c r="AJ443" s="7">
        <v>168</v>
      </c>
      <c r="AK443" s="62">
        <v>1373</v>
      </c>
      <c r="AL443" s="158"/>
      <c r="AM443" s="85"/>
      <c r="AN443" s="85"/>
      <c r="AO443" s="85"/>
      <c r="AP443" s="85"/>
      <c r="AQ443" s="85"/>
      <c r="AR443" s="85"/>
      <c r="AS443" s="85"/>
      <c r="AT443" s="205"/>
      <c r="AU443" s="85"/>
      <c r="AV443" s="196"/>
      <c r="AW443" s="85"/>
      <c r="AX443" s="85"/>
      <c r="AY443" s="39"/>
      <c r="AZ443" s="7"/>
      <c r="BA443" s="62"/>
      <c r="BB443" s="7">
        <v>5</v>
      </c>
      <c r="BC443" s="7">
        <v>15.9</v>
      </c>
      <c r="BD443" s="7">
        <v>210.6</v>
      </c>
      <c r="BE443" s="7">
        <v>23.9</v>
      </c>
      <c r="BF443" s="39"/>
      <c r="BG443" s="7"/>
      <c r="BH443" s="62"/>
      <c r="BI443" s="7"/>
      <c r="BJ443" s="32"/>
      <c r="BK443" s="256"/>
    </row>
    <row r="444" spans="1:63" s="4" customFormat="1" ht="23.25" customHeight="1" thickBot="1" x14ac:dyDescent="0.25">
      <c r="A444" s="62">
        <v>443</v>
      </c>
      <c r="B444" s="238">
        <v>183</v>
      </c>
      <c r="C444" s="238" t="s">
        <v>1788</v>
      </c>
      <c r="D444" s="225" t="s">
        <v>411</v>
      </c>
      <c r="E444" s="12" t="s">
        <v>131</v>
      </c>
      <c r="F444" s="87">
        <v>74.914285714285711</v>
      </c>
      <c r="G444" s="88">
        <v>11.428571428571429</v>
      </c>
      <c r="H444" s="88">
        <v>0</v>
      </c>
      <c r="I444" s="88">
        <v>0</v>
      </c>
      <c r="J444" s="88">
        <v>6.5142857142857142</v>
      </c>
      <c r="K444" s="88">
        <v>0</v>
      </c>
      <c r="L444" s="88">
        <v>0</v>
      </c>
      <c r="M444" s="88">
        <v>0</v>
      </c>
      <c r="N444" s="88">
        <v>0</v>
      </c>
      <c r="O444" s="88">
        <v>0</v>
      </c>
      <c r="P444" s="88">
        <v>0</v>
      </c>
      <c r="Q444" s="88">
        <v>0</v>
      </c>
      <c r="R444" s="88">
        <v>0</v>
      </c>
      <c r="S444" s="89">
        <v>0</v>
      </c>
      <c r="T444" s="88">
        <v>4.9999999999999991</v>
      </c>
      <c r="U444" s="88">
        <v>0</v>
      </c>
      <c r="V444" s="88">
        <v>2.1428571428571423</v>
      </c>
      <c r="W444" s="88">
        <v>0</v>
      </c>
      <c r="X444" s="88">
        <v>0</v>
      </c>
      <c r="Y444" s="88">
        <v>0</v>
      </c>
      <c r="Z444" s="88">
        <v>0</v>
      </c>
      <c r="AA444" s="88">
        <v>0</v>
      </c>
      <c r="AB444" s="88">
        <v>0</v>
      </c>
      <c r="AC444" s="88">
        <v>0</v>
      </c>
      <c r="AD444" s="90">
        <f t="shared" si="31"/>
        <v>100</v>
      </c>
      <c r="AE444" s="88">
        <v>0</v>
      </c>
      <c r="AF444" s="88">
        <v>0</v>
      </c>
      <c r="AG444" s="88">
        <v>0</v>
      </c>
      <c r="AH444" s="88">
        <v>0</v>
      </c>
      <c r="AI444" s="156" t="s">
        <v>1529</v>
      </c>
      <c r="AJ444" s="45">
        <v>3</v>
      </c>
      <c r="AK444" s="91">
        <v>1273</v>
      </c>
      <c r="AL444" s="197"/>
      <c r="AM444" s="189"/>
      <c r="AN444" s="189"/>
      <c r="AO444" s="189"/>
      <c r="AP444" s="189"/>
      <c r="AQ444" s="189"/>
      <c r="AR444" s="189"/>
      <c r="AS444" s="189"/>
      <c r="AT444" s="198"/>
      <c r="AU444" s="189"/>
      <c r="AV444" s="199"/>
      <c r="AW444" s="189"/>
      <c r="AX444" s="189"/>
      <c r="AY444" s="156">
        <v>0.05</v>
      </c>
      <c r="AZ444" s="45">
        <v>309</v>
      </c>
      <c r="BA444" s="91"/>
      <c r="BB444" s="45" t="s">
        <v>524</v>
      </c>
      <c r="BC444" s="45" t="s">
        <v>854</v>
      </c>
      <c r="BD444" s="45" t="s">
        <v>856</v>
      </c>
      <c r="BE444" s="45" t="s">
        <v>858</v>
      </c>
      <c r="BF444" s="156"/>
      <c r="BG444" s="45"/>
      <c r="BH444" s="91"/>
      <c r="BI444" s="45"/>
      <c r="BJ444" s="67"/>
      <c r="BK444" s="256"/>
    </row>
    <row r="445" spans="1:63" s="6" customFormat="1" ht="23.25" customHeight="1" thickBot="1" x14ac:dyDescent="0.25">
      <c r="A445" s="7">
        <v>444</v>
      </c>
      <c r="B445" s="222"/>
      <c r="C445" s="222"/>
      <c r="D445" s="224"/>
      <c r="E445" s="13" t="s">
        <v>132</v>
      </c>
      <c r="F445" s="80">
        <v>74.914285714285711</v>
      </c>
      <c r="G445" s="81">
        <v>11.428571428571429</v>
      </c>
      <c r="H445" s="81">
        <v>0</v>
      </c>
      <c r="I445" s="81">
        <v>0</v>
      </c>
      <c r="J445" s="81">
        <v>6.5142857142857142</v>
      </c>
      <c r="K445" s="81">
        <v>0</v>
      </c>
      <c r="L445" s="81">
        <v>0</v>
      </c>
      <c r="M445" s="81">
        <v>0</v>
      </c>
      <c r="N445" s="81">
        <v>0</v>
      </c>
      <c r="O445" s="81">
        <v>0</v>
      </c>
      <c r="P445" s="81">
        <v>0</v>
      </c>
      <c r="Q445" s="81">
        <v>0</v>
      </c>
      <c r="R445" s="81">
        <v>0</v>
      </c>
      <c r="S445" s="82">
        <v>0</v>
      </c>
      <c r="T445" s="81">
        <v>4.9999999999999991</v>
      </c>
      <c r="U445" s="81">
        <v>0</v>
      </c>
      <c r="V445" s="81">
        <v>2.1428571428571423</v>
      </c>
      <c r="W445" s="81">
        <v>0</v>
      </c>
      <c r="X445" s="81">
        <v>0</v>
      </c>
      <c r="Y445" s="81">
        <v>0</v>
      </c>
      <c r="Z445" s="81">
        <v>0</v>
      </c>
      <c r="AA445" s="81">
        <v>0</v>
      </c>
      <c r="AB445" s="81">
        <v>0</v>
      </c>
      <c r="AC445" s="81">
        <v>0</v>
      </c>
      <c r="AD445" s="83">
        <f t="shared" si="31"/>
        <v>100</v>
      </c>
      <c r="AE445" s="81">
        <v>0</v>
      </c>
      <c r="AF445" s="81">
        <v>0</v>
      </c>
      <c r="AG445" s="81">
        <v>0</v>
      </c>
      <c r="AH445" s="81">
        <v>0</v>
      </c>
      <c r="AI445" s="79" t="s">
        <v>1529</v>
      </c>
      <c r="AJ445" s="94">
        <v>3</v>
      </c>
      <c r="AK445" s="95">
        <v>1273</v>
      </c>
      <c r="AL445" s="200"/>
      <c r="AM445" s="190"/>
      <c r="AN445" s="190"/>
      <c r="AO445" s="190"/>
      <c r="AP445" s="190"/>
      <c r="AQ445" s="190"/>
      <c r="AR445" s="190"/>
      <c r="AS445" s="190"/>
      <c r="AT445" s="201"/>
      <c r="AU445" s="190"/>
      <c r="AV445" s="202"/>
      <c r="AW445" s="190"/>
      <c r="AX445" s="190"/>
      <c r="AY445" s="79">
        <v>0.05</v>
      </c>
      <c r="AZ445" s="65">
        <v>306</v>
      </c>
      <c r="BA445" s="78"/>
      <c r="BB445" s="65" t="s">
        <v>524</v>
      </c>
      <c r="BC445" s="65" t="s">
        <v>855</v>
      </c>
      <c r="BD445" s="65" t="s">
        <v>857</v>
      </c>
      <c r="BE445" s="65"/>
      <c r="BF445" s="79"/>
      <c r="BG445" s="65"/>
      <c r="BH445" s="78"/>
      <c r="BI445" s="65"/>
      <c r="BJ445" s="68"/>
      <c r="BK445" s="256"/>
    </row>
    <row r="446" spans="1:63" ht="23.25" customHeight="1" x14ac:dyDescent="0.2">
      <c r="A446" s="62">
        <v>445</v>
      </c>
      <c r="B446" s="238">
        <v>185</v>
      </c>
      <c r="C446" s="238" t="s">
        <v>1789</v>
      </c>
      <c r="D446" s="225" t="s">
        <v>417</v>
      </c>
      <c r="E446" s="54" t="s">
        <v>413</v>
      </c>
      <c r="F446" s="16">
        <v>80.910714285714292</v>
      </c>
      <c r="G446" s="8">
        <v>10.714285714285714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1.232142857142857</v>
      </c>
      <c r="Q446" s="8">
        <v>0</v>
      </c>
      <c r="R446" s="8">
        <v>0</v>
      </c>
      <c r="S446" s="17">
        <v>0</v>
      </c>
      <c r="T446" s="8">
        <v>5.7142857142857144</v>
      </c>
      <c r="U446" s="8">
        <v>0</v>
      </c>
      <c r="V446" s="8">
        <v>1.4285714285714286</v>
      </c>
      <c r="W446" s="8">
        <v>0</v>
      </c>
      <c r="X446" s="8">
        <v>0</v>
      </c>
      <c r="Y446" s="8">
        <v>0</v>
      </c>
      <c r="Z446" s="8">
        <v>0</v>
      </c>
      <c r="AA446" s="8">
        <v>0</v>
      </c>
      <c r="AB446" s="8">
        <v>0</v>
      </c>
      <c r="AC446" s="8">
        <v>0</v>
      </c>
      <c r="AD446" s="14">
        <f t="shared" si="31"/>
        <v>100</v>
      </c>
      <c r="AE446" s="8">
        <f>1.8*100/14</f>
        <v>12.857142857142858</v>
      </c>
      <c r="AF446" s="8">
        <v>0</v>
      </c>
      <c r="AG446" s="8">
        <v>0</v>
      </c>
      <c r="AH446" s="8">
        <v>0</v>
      </c>
      <c r="AI446" s="39" t="s">
        <v>1531</v>
      </c>
      <c r="AJ446" s="7">
        <v>360</v>
      </c>
      <c r="AK446" s="62">
        <v>1393</v>
      </c>
      <c r="AL446" s="158"/>
      <c r="AM446" s="85"/>
      <c r="AN446" s="85"/>
      <c r="AO446" s="85"/>
      <c r="AP446" s="85"/>
      <c r="AQ446" s="85"/>
      <c r="AR446" s="85"/>
      <c r="AS446" s="85"/>
      <c r="AT446" s="205"/>
      <c r="AU446" s="85"/>
      <c r="AV446" s="196"/>
      <c r="AW446" s="85"/>
      <c r="AX446" s="85"/>
      <c r="AY446" s="39">
        <v>0</v>
      </c>
      <c r="AZ446" s="7">
        <v>312</v>
      </c>
      <c r="BA446" s="62"/>
      <c r="BB446" s="7" t="s">
        <v>842</v>
      </c>
      <c r="BC446" s="7" t="s">
        <v>843</v>
      </c>
      <c r="BD446" s="7" t="s">
        <v>847</v>
      </c>
      <c r="BE446" s="7" t="s">
        <v>851</v>
      </c>
      <c r="BF446" s="39"/>
      <c r="BG446" s="7"/>
      <c r="BH446" s="62"/>
      <c r="BI446" s="7"/>
      <c r="BJ446" s="32"/>
      <c r="BK446" s="227" t="s">
        <v>1725</v>
      </c>
    </row>
    <row r="447" spans="1:63" ht="23.25" customHeight="1" x14ac:dyDescent="0.2">
      <c r="A447" s="7">
        <v>446</v>
      </c>
      <c r="B447" s="221"/>
      <c r="C447" s="221"/>
      <c r="D447" s="223"/>
      <c r="E447" s="54" t="s">
        <v>414</v>
      </c>
      <c r="F447" s="16">
        <v>80.417857142857144</v>
      </c>
      <c r="G447" s="8">
        <v>10.714285714285714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1.7250000000000001</v>
      </c>
      <c r="Q447" s="8">
        <v>0</v>
      </c>
      <c r="R447" s="8">
        <v>0</v>
      </c>
      <c r="S447" s="17">
        <v>0</v>
      </c>
      <c r="T447" s="8">
        <v>5.7142857142857144</v>
      </c>
      <c r="U447" s="8">
        <v>0</v>
      </c>
      <c r="V447" s="8">
        <v>1.4285714285714286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  <c r="AB447" s="8">
        <v>0</v>
      </c>
      <c r="AC447" s="8">
        <v>0</v>
      </c>
      <c r="AD447" s="14">
        <f t="shared" si="31"/>
        <v>99.999999999999986</v>
      </c>
      <c r="AE447" s="8">
        <f>1.8*100/14</f>
        <v>12.857142857142858</v>
      </c>
      <c r="AF447" s="8">
        <v>0</v>
      </c>
      <c r="AG447" s="8">
        <v>0</v>
      </c>
      <c r="AH447" s="8">
        <v>0</v>
      </c>
      <c r="AI447" s="39" t="s">
        <v>1531</v>
      </c>
      <c r="AJ447" s="7">
        <v>360</v>
      </c>
      <c r="AK447" s="62">
        <v>1393</v>
      </c>
      <c r="AL447" s="158"/>
      <c r="AM447" s="85"/>
      <c r="AN447" s="85"/>
      <c r="AO447" s="85"/>
      <c r="AP447" s="85"/>
      <c r="AQ447" s="85"/>
      <c r="AR447" s="85"/>
      <c r="AS447" s="85"/>
      <c r="AT447" s="205"/>
      <c r="AU447" s="85"/>
      <c r="AV447" s="196"/>
      <c r="AW447" s="85"/>
      <c r="AX447" s="85"/>
      <c r="AY447" s="39">
        <v>0</v>
      </c>
      <c r="AZ447" s="7">
        <v>292</v>
      </c>
      <c r="BA447" s="62"/>
      <c r="BB447" s="7" t="s">
        <v>842</v>
      </c>
      <c r="BC447" s="7" t="s">
        <v>844</v>
      </c>
      <c r="BD447" s="7" t="s">
        <v>848</v>
      </c>
      <c r="BE447" s="7" t="s">
        <v>852</v>
      </c>
      <c r="BF447" s="39"/>
      <c r="BG447" s="7"/>
      <c r="BH447" s="62"/>
      <c r="BI447" s="7"/>
      <c r="BJ447" s="32"/>
      <c r="BK447" s="226"/>
    </row>
    <row r="448" spans="1:63" ht="23.25" customHeight="1" x14ac:dyDescent="0.2">
      <c r="A448" s="62">
        <v>447</v>
      </c>
      <c r="B448" s="221"/>
      <c r="C448" s="221"/>
      <c r="D448" s="223"/>
      <c r="E448" s="54" t="s">
        <v>415</v>
      </c>
      <c r="F448" s="16">
        <v>80.089285714285722</v>
      </c>
      <c r="G448" s="8">
        <v>10.714285714285714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2.0535714285714288</v>
      </c>
      <c r="Q448" s="8">
        <v>0</v>
      </c>
      <c r="R448" s="8">
        <v>0</v>
      </c>
      <c r="S448" s="17">
        <v>0</v>
      </c>
      <c r="T448" s="8">
        <v>5.7142857142857144</v>
      </c>
      <c r="U448" s="8">
        <v>0</v>
      </c>
      <c r="V448" s="8">
        <v>1.4285714285714286</v>
      </c>
      <c r="W448" s="8">
        <v>0</v>
      </c>
      <c r="X448" s="8">
        <v>0</v>
      </c>
      <c r="Y448" s="8">
        <v>0</v>
      </c>
      <c r="Z448" s="8">
        <v>0</v>
      </c>
      <c r="AA448" s="8">
        <v>0</v>
      </c>
      <c r="AB448" s="8">
        <v>0</v>
      </c>
      <c r="AC448" s="8">
        <v>0</v>
      </c>
      <c r="AD448" s="14">
        <f t="shared" si="31"/>
        <v>100</v>
      </c>
      <c r="AE448" s="8">
        <f>1.8*100/14</f>
        <v>12.857142857142858</v>
      </c>
      <c r="AF448" s="8">
        <v>0</v>
      </c>
      <c r="AG448" s="8">
        <v>0</v>
      </c>
      <c r="AH448" s="8">
        <v>0</v>
      </c>
      <c r="AI448" s="39" t="s">
        <v>1531</v>
      </c>
      <c r="AJ448" s="7">
        <v>360</v>
      </c>
      <c r="AK448" s="62">
        <v>1393</v>
      </c>
      <c r="AL448" s="158"/>
      <c r="AM448" s="85"/>
      <c r="AN448" s="85"/>
      <c r="AO448" s="85"/>
      <c r="AP448" s="85"/>
      <c r="AQ448" s="85"/>
      <c r="AR448" s="85"/>
      <c r="AS448" s="85"/>
      <c r="AT448" s="205"/>
      <c r="AU448" s="85"/>
      <c r="AV448" s="196"/>
      <c r="AW448" s="85"/>
      <c r="AX448" s="85"/>
      <c r="AY448" s="39">
        <v>0</v>
      </c>
      <c r="AZ448" s="7">
        <v>279</v>
      </c>
      <c r="BA448" s="62"/>
      <c r="BB448" s="7" t="s">
        <v>842</v>
      </c>
      <c r="BC448" s="7" t="s">
        <v>845</v>
      </c>
      <c r="BD448" s="7" t="s">
        <v>849</v>
      </c>
      <c r="BE448" s="7" t="s">
        <v>853</v>
      </c>
      <c r="BF448" s="39"/>
      <c r="BG448" s="7"/>
      <c r="BH448" s="62"/>
      <c r="BI448" s="7"/>
      <c r="BJ448" s="32"/>
      <c r="BK448" s="226"/>
    </row>
    <row r="449" spans="1:63" ht="23.25" customHeight="1" thickBot="1" x14ac:dyDescent="0.25">
      <c r="A449" s="7">
        <v>448</v>
      </c>
      <c r="B449" s="222"/>
      <c r="C449" s="222"/>
      <c r="D449" s="224"/>
      <c r="E449" s="54" t="s">
        <v>416</v>
      </c>
      <c r="F449" s="16">
        <v>80.910714285714292</v>
      </c>
      <c r="G449" s="8">
        <v>10.714285714285714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1.232142857142857</v>
      </c>
      <c r="Q449" s="8">
        <v>0</v>
      </c>
      <c r="R449" s="8">
        <v>0</v>
      </c>
      <c r="S449" s="17">
        <v>0</v>
      </c>
      <c r="T449" s="8">
        <v>5.7142857142857144</v>
      </c>
      <c r="U449" s="8">
        <v>0</v>
      </c>
      <c r="V449" s="8">
        <v>1.4285714285714286</v>
      </c>
      <c r="W449" s="8">
        <v>0</v>
      </c>
      <c r="X449" s="8">
        <v>0</v>
      </c>
      <c r="Y449" s="8">
        <v>0</v>
      </c>
      <c r="Z449" s="8">
        <v>0</v>
      </c>
      <c r="AA449" s="8">
        <v>0</v>
      </c>
      <c r="AB449" s="8">
        <v>0</v>
      </c>
      <c r="AC449" s="8">
        <v>0</v>
      </c>
      <c r="AD449" s="14">
        <f t="shared" si="31"/>
        <v>100</v>
      </c>
      <c r="AE449" s="8">
        <v>0</v>
      </c>
      <c r="AF449" s="8">
        <v>0</v>
      </c>
      <c r="AG449" s="8">
        <v>0</v>
      </c>
      <c r="AH449" s="8">
        <v>0</v>
      </c>
      <c r="AI449" s="39" t="s">
        <v>1531</v>
      </c>
      <c r="AJ449" s="7">
        <v>360</v>
      </c>
      <c r="AK449" s="62">
        <v>1393</v>
      </c>
      <c r="AL449" s="158"/>
      <c r="AM449" s="85"/>
      <c r="AN449" s="85"/>
      <c r="AO449" s="85"/>
      <c r="AP449" s="85"/>
      <c r="AQ449" s="85"/>
      <c r="AR449" s="85"/>
      <c r="AS449" s="85"/>
      <c r="AT449" s="205"/>
      <c r="AU449" s="85"/>
      <c r="AV449" s="196"/>
      <c r="AW449" s="85"/>
      <c r="AX449" s="85"/>
      <c r="AY449" s="39"/>
      <c r="AZ449" s="7"/>
      <c r="BA449" s="62"/>
      <c r="BB449" s="7" t="s">
        <v>842</v>
      </c>
      <c r="BC449" s="7" t="s">
        <v>846</v>
      </c>
      <c r="BD449" s="7" t="s">
        <v>850</v>
      </c>
      <c r="BE449" s="7" t="s">
        <v>541</v>
      </c>
      <c r="BF449" s="39"/>
      <c r="BG449" s="7"/>
      <c r="BH449" s="62"/>
      <c r="BI449" s="7"/>
      <c r="BJ449" s="32"/>
      <c r="BK449" s="42"/>
    </row>
    <row r="450" spans="1:63" s="4" customFormat="1" ht="23.25" customHeight="1" thickBot="1" x14ac:dyDescent="0.25">
      <c r="A450" s="62">
        <v>449</v>
      </c>
      <c r="B450" s="238">
        <v>186</v>
      </c>
      <c r="C450" s="238" t="s">
        <v>1790</v>
      </c>
      <c r="D450" s="225" t="s">
        <v>419</v>
      </c>
      <c r="E450" s="12" t="s">
        <v>241</v>
      </c>
      <c r="F450" s="87">
        <v>82.142857142857139</v>
      </c>
      <c r="G450" s="88">
        <v>10.714285714285714</v>
      </c>
      <c r="H450" s="88">
        <v>0</v>
      </c>
      <c r="I450" s="88">
        <v>0</v>
      </c>
      <c r="J450" s="88">
        <v>0</v>
      </c>
      <c r="K450" s="88">
        <v>0</v>
      </c>
      <c r="L450" s="88">
        <v>0</v>
      </c>
      <c r="M450" s="88">
        <v>0</v>
      </c>
      <c r="N450" s="88">
        <v>0</v>
      </c>
      <c r="O450" s="88">
        <v>0</v>
      </c>
      <c r="P450" s="88">
        <v>0</v>
      </c>
      <c r="Q450" s="88">
        <v>0</v>
      </c>
      <c r="R450" s="88">
        <v>0</v>
      </c>
      <c r="S450" s="89">
        <v>0</v>
      </c>
      <c r="T450" s="88">
        <v>7.1428571428571423</v>
      </c>
      <c r="U450" s="88">
        <v>0</v>
      </c>
      <c r="V450" s="88">
        <v>0</v>
      </c>
      <c r="W450" s="88">
        <v>0</v>
      </c>
      <c r="X450" s="88">
        <v>0</v>
      </c>
      <c r="Y450" s="88">
        <v>0</v>
      </c>
      <c r="Z450" s="88">
        <v>0</v>
      </c>
      <c r="AA450" s="88">
        <v>0</v>
      </c>
      <c r="AB450" s="88">
        <v>0</v>
      </c>
      <c r="AC450" s="88">
        <v>0</v>
      </c>
      <c r="AD450" s="90">
        <f t="shared" si="31"/>
        <v>99.999999999999986</v>
      </c>
      <c r="AE450" s="88">
        <v>0</v>
      </c>
      <c r="AF450" s="88">
        <v>0</v>
      </c>
      <c r="AG450" s="88">
        <v>0</v>
      </c>
      <c r="AH450" s="88">
        <v>0</v>
      </c>
      <c r="AI450" s="156" t="s">
        <v>1531</v>
      </c>
      <c r="AJ450" s="45">
        <v>336</v>
      </c>
      <c r="AK450" s="91">
        <v>1373</v>
      </c>
      <c r="AL450" s="197">
        <v>97.9</v>
      </c>
      <c r="AM450" s="189">
        <v>0</v>
      </c>
      <c r="AN450" s="189">
        <v>2.1</v>
      </c>
      <c r="AO450" s="189"/>
      <c r="AP450" s="189"/>
      <c r="AQ450" s="189"/>
      <c r="AR450" s="189"/>
      <c r="AS450" s="189"/>
      <c r="AT450" s="198"/>
      <c r="AU450" s="189">
        <v>1</v>
      </c>
      <c r="AV450" s="199">
        <f t="shared" ref="AV450:AV458" si="34">SUM(AL450:AT450)</f>
        <v>100</v>
      </c>
      <c r="AW450" s="189">
        <v>11.47</v>
      </c>
      <c r="AX450" s="189"/>
      <c r="AY450" s="156">
        <v>0.05</v>
      </c>
      <c r="AZ450" s="45">
        <v>183</v>
      </c>
      <c r="BA450" s="91"/>
      <c r="BB450" s="45" t="s">
        <v>524</v>
      </c>
      <c r="BC450" s="45" t="s">
        <v>833</v>
      </c>
      <c r="BD450" s="189" t="s">
        <v>834</v>
      </c>
      <c r="BE450" s="189" t="s">
        <v>838</v>
      </c>
      <c r="BF450" s="156"/>
      <c r="BG450" s="45"/>
      <c r="BH450" s="91"/>
      <c r="BI450" s="45"/>
      <c r="BJ450" s="67"/>
      <c r="BK450" s="256" t="s">
        <v>1771</v>
      </c>
    </row>
    <row r="451" spans="1:63" ht="23.25" customHeight="1" thickBot="1" x14ac:dyDescent="0.25">
      <c r="A451" s="7">
        <v>450</v>
      </c>
      <c r="B451" s="221"/>
      <c r="C451" s="221"/>
      <c r="D451" s="223"/>
      <c r="E451" s="54" t="s">
        <v>248</v>
      </c>
      <c r="F451" s="16">
        <v>82.142857142857139</v>
      </c>
      <c r="G451" s="8">
        <v>10.714285714285714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17">
        <v>0.7142857142857143</v>
      </c>
      <c r="T451" s="8">
        <v>6.4285714285714297</v>
      </c>
      <c r="U451" s="8">
        <v>0</v>
      </c>
      <c r="V451" s="8">
        <v>0</v>
      </c>
      <c r="W451" s="8">
        <v>0</v>
      </c>
      <c r="X451" s="8">
        <v>0</v>
      </c>
      <c r="Y451" s="8">
        <v>0</v>
      </c>
      <c r="Z451" s="8">
        <v>0</v>
      </c>
      <c r="AA451" s="8">
        <v>0</v>
      </c>
      <c r="AB451" s="8">
        <v>0</v>
      </c>
      <c r="AC451" s="8">
        <v>0</v>
      </c>
      <c r="AD451" s="14">
        <f t="shared" si="31"/>
        <v>99.999999999999986</v>
      </c>
      <c r="AE451" s="8">
        <v>0</v>
      </c>
      <c r="AF451" s="8">
        <v>0</v>
      </c>
      <c r="AG451" s="8">
        <v>0</v>
      </c>
      <c r="AH451" s="8">
        <v>0</v>
      </c>
      <c r="AI451" s="39" t="s">
        <v>1531</v>
      </c>
      <c r="AJ451" s="7">
        <v>336</v>
      </c>
      <c r="AK451" s="62">
        <v>1373</v>
      </c>
      <c r="AL451" s="158">
        <v>90.2</v>
      </c>
      <c r="AM451" s="85">
        <v>8.8000000000000007</v>
      </c>
      <c r="AN451" s="85">
        <v>1</v>
      </c>
      <c r="AO451" s="85"/>
      <c r="AP451" s="85"/>
      <c r="AQ451" s="85"/>
      <c r="AR451" s="85"/>
      <c r="AS451" s="85"/>
      <c r="AT451" s="205"/>
      <c r="AU451" s="85">
        <v>1</v>
      </c>
      <c r="AV451" s="196">
        <f t="shared" si="34"/>
        <v>100</v>
      </c>
      <c r="AW451" s="85">
        <v>11.468999999999999</v>
      </c>
      <c r="AX451" s="85"/>
      <c r="AY451" s="39">
        <v>0.05</v>
      </c>
      <c r="AZ451" s="7">
        <v>198</v>
      </c>
      <c r="BA451" s="62"/>
      <c r="BB451" s="7" t="s">
        <v>523</v>
      </c>
      <c r="BC451" s="7" t="s">
        <v>832</v>
      </c>
      <c r="BD451" s="85" t="s">
        <v>835</v>
      </c>
      <c r="BE451" s="85" t="s">
        <v>839</v>
      </c>
      <c r="BF451" s="39"/>
      <c r="BG451" s="7"/>
      <c r="BH451" s="62"/>
      <c r="BI451" s="7"/>
      <c r="BJ451" s="32"/>
      <c r="BK451" s="256"/>
    </row>
    <row r="452" spans="1:63" ht="23.25" customHeight="1" thickBot="1" x14ac:dyDescent="0.25">
      <c r="A452" s="62">
        <v>451</v>
      </c>
      <c r="B452" s="221"/>
      <c r="C452" s="221"/>
      <c r="D452" s="223"/>
      <c r="E452" s="54" t="s">
        <v>249</v>
      </c>
      <c r="F452" s="16">
        <v>82.142857142857139</v>
      </c>
      <c r="G452" s="8">
        <v>10.714285714285714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17">
        <v>1.4285714285714286</v>
      </c>
      <c r="T452" s="8">
        <v>5.7142857142857144</v>
      </c>
      <c r="U452" s="8">
        <v>0</v>
      </c>
      <c r="V452" s="8">
        <v>0</v>
      </c>
      <c r="W452" s="8">
        <v>0</v>
      </c>
      <c r="X452" s="8">
        <v>0</v>
      </c>
      <c r="Y452" s="8">
        <v>0</v>
      </c>
      <c r="Z452" s="8">
        <v>0</v>
      </c>
      <c r="AA452" s="8">
        <v>0</v>
      </c>
      <c r="AB452" s="8">
        <v>0</v>
      </c>
      <c r="AC452" s="8">
        <v>0</v>
      </c>
      <c r="AD452" s="14">
        <f t="shared" si="31"/>
        <v>99.999999999999986</v>
      </c>
      <c r="AE452" s="8">
        <v>0</v>
      </c>
      <c r="AF452" s="8">
        <v>0</v>
      </c>
      <c r="AG452" s="8">
        <v>0</v>
      </c>
      <c r="AH452" s="8">
        <v>0</v>
      </c>
      <c r="AI452" s="39" t="s">
        <v>1531</v>
      </c>
      <c r="AJ452" s="7">
        <v>336</v>
      </c>
      <c r="AK452" s="62">
        <v>1373</v>
      </c>
      <c r="AL452" s="158">
        <v>87.6</v>
      </c>
      <c r="AM452" s="85">
        <v>11.6</v>
      </c>
      <c r="AN452" s="85">
        <v>0.8</v>
      </c>
      <c r="AO452" s="85"/>
      <c r="AP452" s="85"/>
      <c r="AQ452" s="85"/>
      <c r="AR452" s="85"/>
      <c r="AS452" s="85"/>
      <c r="AT452" s="205"/>
      <c r="AU452" s="85">
        <v>1</v>
      </c>
      <c r="AV452" s="196">
        <f t="shared" si="34"/>
        <v>99.999999999999986</v>
      </c>
      <c r="AW452" s="85">
        <v>11.468999999999999</v>
      </c>
      <c r="AX452" s="85"/>
      <c r="AY452" s="39">
        <v>0.05</v>
      </c>
      <c r="AZ452" s="7">
        <v>200</v>
      </c>
      <c r="BA452" s="62"/>
      <c r="BB452" s="7" t="s">
        <v>523</v>
      </c>
      <c r="BC452" s="7" t="s">
        <v>831</v>
      </c>
      <c r="BD452" s="85" t="s">
        <v>836</v>
      </c>
      <c r="BE452" s="85" t="s">
        <v>840</v>
      </c>
      <c r="BF452" s="39"/>
      <c r="BG452" s="7"/>
      <c r="BH452" s="62"/>
      <c r="BI452" s="7"/>
      <c r="BJ452" s="32"/>
      <c r="BK452" s="256"/>
    </row>
    <row r="453" spans="1:63" s="6" customFormat="1" ht="23.25" customHeight="1" thickBot="1" x14ac:dyDescent="0.25">
      <c r="A453" s="7">
        <v>452</v>
      </c>
      <c r="B453" s="222"/>
      <c r="C453" s="222"/>
      <c r="D453" s="224"/>
      <c r="E453" s="13" t="s">
        <v>242</v>
      </c>
      <c r="F453" s="80">
        <v>82.142857142857139</v>
      </c>
      <c r="G453" s="81">
        <v>10.714285714285714</v>
      </c>
      <c r="H453" s="81">
        <v>0</v>
      </c>
      <c r="I453" s="81">
        <v>0</v>
      </c>
      <c r="J453" s="81">
        <v>0</v>
      </c>
      <c r="K453" s="81">
        <v>0</v>
      </c>
      <c r="L453" s="81">
        <v>0</v>
      </c>
      <c r="M453" s="81">
        <v>0</v>
      </c>
      <c r="N453" s="81">
        <v>0</v>
      </c>
      <c r="O453" s="81">
        <v>0</v>
      </c>
      <c r="P453" s="81">
        <v>0</v>
      </c>
      <c r="Q453" s="81">
        <v>0</v>
      </c>
      <c r="R453" s="81">
        <v>0</v>
      </c>
      <c r="S453" s="82">
        <v>2.1428571428571428</v>
      </c>
      <c r="T453" s="81">
        <v>5</v>
      </c>
      <c r="U453" s="81">
        <v>0</v>
      </c>
      <c r="V453" s="81">
        <v>0</v>
      </c>
      <c r="W453" s="81">
        <v>0</v>
      </c>
      <c r="X453" s="81">
        <v>0</v>
      </c>
      <c r="Y453" s="81">
        <v>0</v>
      </c>
      <c r="Z453" s="81">
        <v>0</v>
      </c>
      <c r="AA453" s="81">
        <v>0</v>
      </c>
      <c r="AB453" s="81">
        <v>0</v>
      </c>
      <c r="AC453" s="81">
        <v>0</v>
      </c>
      <c r="AD453" s="83">
        <f t="shared" si="31"/>
        <v>99.999999999999986</v>
      </c>
      <c r="AE453" s="81">
        <v>0</v>
      </c>
      <c r="AF453" s="81">
        <v>0</v>
      </c>
      <c r="AG453" s="81">
        <v>0</v>
      </c>
      <c r="AH453" s="81">
        <v>0</v>
      </c>
      <c r="AI453" s="79" t="s">
        <v>1531</v>
      </c>
      <c r="AJ453" s="65">
        <v>336</v>
      </c>
      <c r="AK453" s="78">
        <v>1373</v>
      </c>
      <c r="AL453" s="200">
        <v>85.9</v>
      </c>
      <c r="AM453" s="190">
        <v>13.8</v>
      </c>
      <c r="AN453" s="190">
        <v>0.3</v>
      </c>
      <c r="AO453" s="190"/>
      <c r="AP453" s="190"/>
      <c r="AQ453" s="190"/>
      <c r="AR453" s="190"/>
      <c r="AS453" s="190"/>
      <c r="AT453" s="201"/>
      <c r="AU453" s="190">
        <v>1</v>
      </c>
      <c r="AV453" s="202">
        <f t="shared" si="34"/>
        <v>100</v>
      </c>
      <c r="AW453" s="190">
        <v>11.467000000000001</v>
      </c>
      <c r="AX453" s="190"/>
      <c r="AY453" s="79">
        <v>0.05</v>
      </c>
      <c r="AZ453" s="65">
        <v>208</v>
      </c>
      <c r="BA453" s="78"/>
      <c r="BB453" s="65" t="s">
        <v>523</v>
      </c>
      <c r="BC453" s="65" t="s">
        <v>830</v>
      </c>
      <c r="BD453" s="190" t="s">
        <v>837</v>
      </c>
      <c r="BE453" s="190" t="s">
        <v>841</v>
      </c>
      <c r="BF453" s="79"/>
      <c r="BG453" s="65"/>
      <c r="BH453" s="78"/>
      <c r="BI453" s="65"/>
      <c r="BJ453" s="68"/>
      <c r="BK453" s="256"/>
    </row>
    <row r="454" spans="1:63" ht="23.25" customHeight="1" thickBot="1" x14ac:dyDescent="0.25">
      <c r="A454" s="62">
        <v>453</v>
      </c>
      <c r="B454" s="238">
        <v>190</v>
      </c>
      <c r="C454" s="238" t="s">
        <v>1791</v>
      </c>
      <c r="D454" s="225" t="s">
        <v>133</v>
      </c>
      <c r="E454" s="54"/>
      <c r="F454" s="16">
        <v>73.333333333333329</v>
      </c>
      <c r="G454" s="8">
        <v>13.333333333333334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17">
        <v>0</v>
      </c>
      <c r="T454" s="8">
        <v>13.333333333333334</v>
      </c>
      <c r="U454" s="8">
        <v>0</v>
      </c>
      <c r="V454" s="8">
        <v>0</v>
      </c>
      <c r="W454" s="8">
        <v>0</v>
      </c>
      <c r="X454" s="8">
        <v>0</v>
      </c>
      <c r="Y454" s="8">
        <v>0</v>
      </c>
      <c r="Z454" s="8">
        <v>0</v>
      </c>
      <c r="AA454" s="8">
        <v>0</v>
      </c>
      <c r="AB454" s="8">
        <v>0</v>
      </c>
      <c r="AC454" s="8">
        <v>0</v>
      </c>
      <c r="AD454" s="14">
        <f t="shared" si="31"/>
        <v>99.999999999999986</v>
      </c>
      <c r="AE454" s="8">
        <v>0</v>
      </c>
      <c r="AF454" s="8">
        <v>0</v>
      </c>
      <c r="AG454" s="8">
        <v>0</v>
      </c>
      <c r="AH454" s="8">
        <v>0</v>
      </c>
      <c r="AI454" s="39" t="s">
        <v>1531</v>
      </c>
      <c r="AJ454" s="7">
        <v>24</v>
      </c>
      <c r="AK454" s="62">
        <v>1323</v>
      </c>
      <c r="AL454" s="193">
        <f>59.7/100.56*100</f>
        <v>59.367541766109788</v>
      </c>
      <c r="AM454" s="192">
        <f>7.16/100.56*100</f>
        <v>7.1201272871917256</v>
      </c>
      <c r="AN454" s="192">
        <f>15.7/100.56*100</f>
        <v>15.612569610182975</v>
      </c>
      <c r="AO454" s="192"/>
      <c r="AP454" s="192">
        <f>18/100.56*100</f>
        <v>17.899761336515514</v>
      </c>
      <c r="AQ454" s="85"/>
      <c r="AR454" s="85"/>
      <c r="AS454" s="85"/>
      <c r="AT454" s="205"/>
      <c r="AU454" s="85">
        <v>1</v>
      </c>
      <c r="AV454" s="196">
        <f t="shared" si="34"/>
        <v>100</v>
      </c>
      <c r="AW454" s="85"/>
      <c r="AX454" s="85"/>
      <c r="AY454" s="39"/>
      <c r="AZ454" s="7"/>
      <c r="BA454" s="62"/>
      <c r="BB454" s="7"/>
      <c r="BC454" s="7"/>
      <c r="BD454" s="7"/>
      <c r="BE454" s="7"/>
      <c r="BF454" s="39"/>
      <c r="BG454" s="7"/>
      <c r="BH454" s="62"/>
      <c r="BI454" s="7"/>
      <c r="BJ454" s="32"/>
      <c r="BK454" s="256"/>
    </row>
    <row r="455" spans="1:63" ht="23.25" customHeight="1" thickBot="1" x14ac:dyDescent="0.25">
      <c r="A455" s="7">
        <v>454</v>
      </c>
      <c r="B455" s="221"/>
      <c r="C455" s="221"/>
      <c r="D455" s="223"/>
      <c r="E455" s="54"/>
      <c r="F455" s="16">
        <v>73.333333333333329</v>
      </c>
      <c r="G455" s="8">
        <v>13.333333333333334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17">
        <v>0</v>
      </c>
      <c r="T455" s="8">
        <v>13.333333333333334</v>
      </c>
      <c r="U455" s="8">
        <v>0</v>
      </c>
      <c r="V455" s="8">
        <v>0</v>
      </c>
      <c r="W455" s="8">
        <v>0</v>
      </c>
      <c r="X455" s="8">
        <v>0</v>
      </c>
      <c r="Y455" s="8">
        <v>0</v>
      </c>
      <c r="Z455" s="8">
        <v>0</v>
      </c>
      <c r="AA455" s="8">
        <v>0</v>
      </c>
      <c r="AB455" s="8">
        <v>0</v>
      </c>
      <c r="AC455" s="8">
        <v>0</v>
      </c>
      <c r="AD455" s="14">
        <f t="shared" si="31"/>
        <v>99.999999999999986</v>
      </c>
      <c r="AE455" s="8">
        <v>0</v>
      </c>
      <c r="AF455" s="8">
        <v>0</v>
      </c>
      <c r="AG455" s="8">
        <v>0</v>
      </c>
      <c r="AH455" s="8">
        <v>0</v>
      </c>
      <c r="AI455" s="39" t="s">
        <v>1531</v>
      </c>
      <c r="AJ455" s="7">
        <v>24</v>
      </c>
      <c r="AK455" s="62">
        <v>1423</v>
      </c>
      <c r="AL455" s="193">
        <f>79.8/101.7*100</f>
        <v>78.466076696165189</v>
      </c>
      <c r="AM455" s="192">
        <f>1.4/101.7*100</f>
        <v>1.3765978367748277</v>
      </c>
      <c r="AN455" s="192">
        <v>0</v>
      </c>
      <c r="AO455" s="192"/>
      <c r="AP455" s="192">
        <f>20.5/101.7*100</f>
        <v>20.15732546705998</v>
      </c>
      <c r="AQ455" s="85"/>
      <c r="AR455" s="85"/>
      <c r="AS455" s="85"/>
      <c r="AT455" s="205"/>
      <c r="AU455" s="85">
        <v>1</v>
      </c>
      <c r="AV455" s="196">
        <f t="shared" si="34"/>
        <v>100</v>
      </c>
      <c r="AW455" s="85"/>
      <c r="AX455" s="85"/>
      <c r="AY455" s="39">
        <v>0.05</v>
      </c>
      <c r="AZ455" s="7">
        <v>199</v>
      </c>
      <c r="BA455" s="62"/>
      <c r="BB455" s="7" t="s">
        <v>623</v>
      </c>
      <c r="BC455" s="7" t="s">
        <v>827</v>
      </c>
      <c r="BD455" s="7" t="s">
        <v>828</v>
      </c>
      <c r="BE455" s="7" t="s">
        <v>829</v>
      </c>
      <c r="BF455" s="39"/>
      <c r="BG455" s="7"/>
      <c r="BH455" s="62"/>
      <c r="BI455" s="7"/>
      <c r="BJ455" s="32"/>
      <c r="BK455" s="256"/>
    </row>
    <row r="456" spans="1:63" ht="23.25" customHeight="1" thickBot="1" x14ac:dyDescent="0.25">
      <c r="A456" s="62">
        <v>455</v>
      </c>
      <c r="B456" s="222"/>
      <c r="C456" s="222"/>
      <c r="D456" s="224"/>
      <c r="E456" s="54"/>
      <c r="F456" s="16">
        <v>73.333333333333329</v>
      </c>
      <c r="G456" s="8">
        <v>13.333333333333334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17">
        <v>0</v>
      </c>
      <c r="T456" s="8">
        <v>13.333333333333334</v>
      </c>
      <c r="U456" s="8">
        <v>0</v>
      </c>
      <c r="V456" s="8">
        <v>0</v>
      </c>
      <c r="W456" s="8">
        <v>0</v>
      </c>
      <c r="X456" s="8">
        <v>0</v>
      </c>
      <c r="Y456" s="8">
        <v>0</v>
      </c>
      <c r="Z456" s="8">
        <v>0</v>
      </c>
      <c r="AA456" s="8">
        <v>0</v>
      </c>
      <c r="AB456" s="8">
        <v>0</v>
      </c>
      <c r="AC456" s="8">
        <v>0</v>
      </c>
      <c r="AD456" s="14">
        <f t="shared" si="31"/>
        <v>99.999999999999986</v>
      </c>
      <c r="AE456" s="8">
        <v>0</v>
      </c>
      <c r="AF456" s="8">
        <v>0</v>
      </c>
      <c r="AG456" s="8">
        <v>0</v>
      </c>
      <c r="AH456" s="8">
        <v>0</v>
      </c>
      <c r="AI456" s="39" t="s">
        <v>1531</v>
      </c>
      <c r="AJ456" s="7">
        <v>12</v>
      </c>
      <c r="AK456" s="62">
        <v>1523</v>
      </c>
      <c r="AL456" s="193">
        <f>71.1/100.3*100</f>
        <v>70.887337986041871</v>
      </c>
      <c r="AM456" s="192">
        <f>9.3/100.3*100</f>
        <v>9.2721834496510471</v>
      </c>
      <c r="AN456" s="192">
        <v>0</v>
      </c>
      <c r="AO456" s="192"/>
      <c r="AP456" s="192">
        <f>19.9/100.3*100</f>
        <v>19.84047856430708</v>
      </c>
      <c r="AQ456" s="85"/>
      <c r="AR456" s="85"/>
      <c r="AS456" s="85"/>
      <c r="AT456" s="205"/>
      <c r="AU456" s="85">
        <v>1</v>
      </c>
      <c r="AV456" s="196">
        <f t="shared" si="34"/>
        <v>100</v>
      </c>
      <c r="AW456" s="85"/>
      <c r="AX456" s="85"/>
      <c r="AY456" s="39"/>
      <c r="AZ456" s="7"/>
      <c r="BA456" s="62"/>
      <c r="BB456" s="7"/>
      <c r="BC456" s="7"/>
      <c r="BD456" s="7"/>
      <c r="BE456" s="7"/>
      <c r="BF456" s="39"/>
      <c r="BG456" s="7"/>
      <c r="BH456" s="62"/>
      <c r="BI456" s="7"/>
      <c r="BJ456" s="32"/>
      <c r="BK456" s="256"/>
    </row>
    <row r="457" spans="1:63" s="4" customFormat="1" ht="23.25" customHeight="1" thickBot="1" x14ac:dyDescent="0.25">
      <c r="A457" s="7">
        <v>456</v>
      </c>
      <c r="B457" s="238">
        <v>191</v>
      </c>
      <c r="C457" s="238" t="s">
        <v>1792</v>
      </c>
      <c r="D457" s="225" t="s">
        <v>134</v>
      </c>
      <c r="E457" s="12"/>
      <c r="F457" s="87">
        <f>10.8/14*100</f>
        <v>77.142857142857153</v>
      </c>
      <c r="G457" s="88">
        <f>1.5/14*100</f>
        <v>10.714285714285714</v>
      </c>
      <c r="H457" s="88">
        <v>0</v>
      </c>
      <c r="I457" s="88">
        <v>0</v>
      </c>
      <c r="J457" s="88">
        <f>0.7/14*100</f>
        <v>5</v>
      </c>
      <c r="K457" s="88">
        <v>0</v>
      </c>
      <c r="L457" s="88">
        <v>0</v>
      </c>
      <c r="M457" s="88">
        <v>0</v>
      </c>
      <c r="N457" s="88">
        <v>0</v>
      </c>
      <c r="O457" s="88">
        <v>0</v>
      </c>
      <c r="P457" s="88">
        <v>0</v>
      </c>
      <c r="Q457" s="88">
        <v>0</v>
      </c>
      <c r="R457" s="88">
        <v>0</v>
      </c>
      <c r="S457" s="89">
        <v>0</v>
      </c>
      <c r="T457" s="88">
        <f>1/14*100</f>
        <v>7.1428571428571423</v>
      </c>
      <c r="U457" s="88">
        <v>0</v>
      </c>
      <c r="V457" s="88">
        <v>0</v>
      </c>
      <c r="W457" s="88">
        <v>0</v>
      </c>
      <c r="X457" s="88">
        <v>0</v>
      </c>
      <c r="Y457" s="88">
        <v>0</v>
      </c>
      <c r="Z457" s="88">
        <v>0</v>
      </c>
      <c r="AA457" s="88">
        <v>0</v>
      </c>
      <c r="AB457" s="88">
        <v>0</v>
      </c>
      <c r="AC457" s="88">
        <v>0</v>
      </c>
      <c r="AD457" s="90">
        <f t="shared" si="31"/>
        <v>100</v>
      </c>
      <c r="AE457" s="88">
        <v>0</v>
      </c>
      <c r="AF457" s="88">
        <f>0.2/14*100</f>
        <v>1.4285714285714286</v>
      </c>
      <c r="AG457" s="88">
        <v>0</v>
      </c>
      <c r="AH457" s="88">
        <v>0</v>
      </c>
      <c r="AI457" s="156" t="s">
        <v>1531</v>
      </c>
      <c r="AJ457" s="45">
        <v>48</v>
      </c>
      <c r="AK457" s="91">
        <v>1373</v>
      </c>
      <c r="AL457" s="197"/>
      <c r="AM457" s="189">
        <v>1.8</v>
      </c>
      <c r="AN457" s="189"/>
      <c r="AO457" s="189"/>
      <c r="AP457" s="189"/>
      <c r="AQ457" s="189"/>
      <c r="AR457" s="189"/>
      <c r="AS457" s="189"/>
      <c r="AT457" s="198"/>
      <c r="AU457" s="189">
        <v>1</v>
      </c>
      <c r="AV457" s="199">
        <f t="shared" si="34"/>
        <v>1.8</v>
      </c>
      <c r="AW457" s="189"/>
      <c r="AX457" s="189"/>
      <c r="AY457" s="156">
        <v>0.01</v>
      </c>
      <c r="AZ457" s="45">
        <v>303</v>
      </c>
      <c r="BA457" s="91"/>
      <c r="BB457" s="45" t="s">
        <v>789</v>
      </c>
      <c r="BC457" s="45" t="s">
        <v>824</v>
      </c>
      <c r="BD457" s="45" t="s">
        <v>825</v>
      </c>
      <c r="BE457" s="45" t="s">
        <v>826</v>
      </c>
      <c r="BF457" s="156"/>
      <c r="BG457" s="45"/>
      <c r="BH457" s="91"/>
      <c r="BI457" s="45"/>
      <c r="BJ457" s="67"/>
      <c r="BK457" s="256" t="s">
        <v>8</v>
      </c>
    </row>
    <row r="458" spans="1:63" ht="23.25" customHeight="1" thickBot="1" x14ac:dyDescent="0.25">
      <c r="A458" s="62">
        <v>457</v>
      </c>
      <c r="B458" s="221"/>
      <c r="C458" s="221"/>
      <c r="D458" s="223"/>
      <c r="E458" s="54"/>
      <c r="F458" s="16">
        <f>10.8/14*100</f>
        <v>77.142857142857153</v>
      </c>
      <c r="G458" s="8">
        <f>1.5/14*100</f>
        <v>10.714285714285714</v>
      </c>
      <c r="H458" s="8">
        <v>0</v>
      </c>
      <c r="I458" s="8">
        <v>0</v>
      </c>
      <c r="J458" s="8">
        <f>0.7/14*100</f>
        <v>5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17">
        <v>0</v>
      </c>
      <c r="T458" s="8">
        <f>1/14*100</f>
        <v>7.1428571428571423</v>
      </c>
      <c r="U458" s="8">
        <v>0</v>
      </c>
      <c r="V458" s="8">
        <v>0</v>
      </c>
      <c r="W458" s="8">
        <v>0</v>
      </c>
      <c r="X458" s="8">
        <v>0</v>
      </c>
      <c r="Y458" s="8">
        <v>0</v>
      </c>
      <c r="Z458" s="8">
        <v>0</v>
      </c>
      <c r="AA458" s="8">
        <v>0</v>
      </c>
      <c r="AB458" s="8">
        <v>0</v>
      </c>
      <c r="AC458" s="8">
        <v>0</v>
      </c>
      <c r="AD458" s="14">
        <f t="shared" si="31"/>
        <v>100</v>
      </c>
      <c r="AE458" s="8">
        <v>0</v>
      </c>
      <c r="AF458" s="8">
        <f>0.2/14*100</f>
        <v>1.4285714285714286</v>
      </c>
      <c r="AG458" s="8">
        <v>0</v>
      </c>
      <c r="AH458" s="8">
        <v>0</v>
      </c>
      <c r="AJ458" s="7">
        <v>6</v>
      </c>
      <c r="AK458" s="62">
        <v>1373</v>
      </c>
      <c r="AL458" s="158"/>
      <c r="AM458" s="85">
        <v>5.8</v>
      </c>
      <c r="AN458" s="85"/>
      <c r="AO458" s="85"/>
      <c r="AP458" s="85"/>
      <c r="AQ458" s="85"/>
      <c r="AR458" s="85"/>
      <c r="AS458" s="85"/>
      <c r="AT458" s="205"/>
      <c r="AU458" s="85">
        <v>1</v>
      </c>
      <c r="AV458" s="196">
        <f t="shared" si="34"/>
        <v>5.8</v>
      </c>
      <c r="AW458" s="85"/>
      <c r="AX458" s="85"/>
      <c r="AY458" s="39"/>
      <c r="AZ458" s="7"/>
      <c r="BA458" s="62"/>
      <c r="BB458" s="7"/>
      <c r="BC458" s="7"/>
      <c r="BD458" s="7"/>
      <c r="BE458" s="7"/>
      <c r="BF458" s="39"/>
      <c r="BG458" s="7"/>
      <c r="BH458" s="62"/>
      <c r="BI458" s="7"/>
      <c r="BJ458" s="32"/>
      <c r="BK458" s="256"/>
    </row>
    <row r="459" spans="1:63" ht="23.25" customHeight="1" thickBot="1" x14ac:dyDescent="0.25">
      <c r="A459" s="7">
        <v>458</v>
      </c>
      <c r="B459" s="221"/>
      <c r="C459" s="221"/>
      <c r="D459" s="54" t="s">
        <v>137</v>
      </c>
      <c r="E459" s="54"/>
      <c r="F459" s="16">
        <f>0.919*11.7*100/14</f>
        <v>76.802142857142854</v>
      </c>
      <c r="G459" s="8">
        <v>0</v>
      </c>
      <c r="H459" s="8">
        <f>1.3*100/14</f>
        <v>9.2857142857142865</v>
      </c>
      <c r="I459" s="8">
        <v>0</v>
      </c>
      <c r="J459" s="8">
        <v>6.7692857142857141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17">
        <v>0</v>
      </c>
      <c r="T459" s="8">
        <v>7.1428571428571397</v>
      </c>
      <c r="U459" s="8">
        <v>0</v>
      </c>
      <c r="V459" s="8">
        <v>0</v>
      </c>
      <c r="W459" s="8">
        <v>0</v>
      </c>
      <c r="X459" s="8">
        <v>0</v>
      </c>
      <c r="Y459" s="8">
        <v>0</v>
      </c>
      <c r="Z459" s="8">
        <v>0</v>
      </c>
      <c r="AA459" s="8">
        <v>0</v>
      </c>
      <c r="AB459" s="8">
        <v>0</v>
      </c>
      <c r="AC459" s="8">
        <v>0</v>
      </c>
      <c r="AD459" s="14">
        <f t="shared" si="31"/>
        <v>100</v>
      </c>
      <c r="AE459" s="8">
        <v>0</v>
      </c>
      <c r="AF459" s="8">
        <v>0</v>
      </c>
      <c r="AG459" s="8">
        <v>0</v>
      </c>
      <c r="AH459" s="8">
        <v>0</v>
      </c>
      <c r="AJ459" s="7"/>
      <c r="AK459" s="62"/>
      <c r="AL459" s="158"/>
      <c r="AM459" s="85"/>
      <c r="AN459" s="85"/>
      <c r="AO459" s="85"/>
      <c r="AP459" s="85"/>
      <c r="AQ459" s="85"/>
      <c r="AR459" s="85"/>
      <c r="AS459" s="85"/>
      <c r="AT459" s="205"/>
      <c r="AU459" s="85"/>
      <c r="AV459" s="196"/>
      <c r="AW459" s="85"/>
      <c r="AX459" s="85"/>
      <c r="AY459" s="39"/>
      <c r="AZ459" s="7">
        <v>311</v>
      </c>
      <c r="BA459" s="62"/>
      <c r="BB459" s="7">
        <v>2</v>
      </c>
      <c r="BC459" s="7">
        <v>3.6</v>
      </c>
      <c r="BD459" s="7"/>
      <c r="BE459" s="7"/>
      <c r="BF459" s="39"/>
      <c r="BG459" s="7"/>
      <c r="BH459" s="62"/>
      <c r="BI459" s="7"/>
      <c r="BJ459" s="32"/>
      <c r="BK459" s="256"/>
    </row>
    <row r="460" spans="1:63" s="6" customFormat="1" ht="23.25" customHeight="1" thickBot="1" x14ac:dyDescent="0.25">
      <c r="A460" s="62">
        <v>459</v>
      </c>
      <c r="B460" s="222"/>
      <c r="C460" s="222"/>
      <c r="D460" s="13" t="s">
        <v>179</v>
      </c>
      <c r="E460" s="13"/>
      <c r="F460" s="80">
        <f>0.88*13/14*100</f>
        <v>81.714285714285708</v>
      </c>
      <c r="G460" s="81">
        <f>0.12*13/14*100</f>
        <v>11.142857142857142</v>
      </c>
      <c r="H460" s="81">
        <v>0</v>
      </c>
      <c r="I460" s="81">
        <v>0</v>
      </c>
      <c r="J460" s="81">
        <v>0</v>
      </c>
      <c r="K460" s="81">
        <v>0</v>
      </c>
      <c r="L460" s="81">
        <v>0</v>
      </c>
      <c r="M460" s="81">
        <v>0</v>
      </c>
      <c r="N460" s="81">
        <v>0</v>
      </c>
      <c r="O460" s="81">
        <v>0</v>
      </c>
      <c r="P460" s="81">
        <v>0</v>
      </c>
      <c r="Q460" s="81">
        <v>0</v>
      </c>
      <c r="R460" s="81">
        <v>0</v>
      </c>
      <c r="S460" s="82">
        <v>0</v>
      </c>
      <c r="T460" s="81">
        <f>1/14*100</f>
        <v>7.1428571428571423</v>
      </c>
      <c r="U460" s="81">
        <v>0</v>
      </c>
      <c r="V460" s="81">
        <v>0</v>
      </c>
      <c r="W460" s="81">
        <v>0</v>
      </c>
      <c r="X460" s="81">
        <v>0</v>
      </c>
      <c r="Y460" s="81">
        <v>0</v>
      </c>
      <c r="Z460" s="81">
        <v>0</v>
      </c>
      <c r="AA460" s="81">
        <v>0</v>
      </c>
      <c r="AB460" s="81">
        <v>0</v>
      </c>
      <c r="AC460" s="81">
        <v>0</v>
      </c>
      <c r="AD460" s="83">
        <f t="shared" ref="AD460:AD523" si="35">SUM(F460:AC460)</f>
        <v>99.999999999999986</v>
      </c>
      <c r="AE460" s="81">
        <f>1.5/14*100</f>
        <v>10.714285714285714</v>
      </c>
      <c r="AF460" s="81">
        <v>0</v>
      </c>
      <c r="AG460" s="81">
        <v>0</v>
      </c>
      <c r="AH460" s="81">
        <v>0</v>
      </c>
      <c r="AI460" s="79"/>
      <c r="AJ460" s="65"/>
      <c r="AK460" s="78"/>
      <c r="AL460" s="200"/>
      <c r="AM460" s="190"/>
      <c r="AN460" s="190"/>
      <c r="AO460" s="190"/>
      <c r="AP460" s="190"/>
      <c r="AQ460" s="190"/>
      <c r="AR460" s="190"/>
      <c r="AS460" s="190"/>
      <c r="AT460" s="201"/>
      <c r="AU460" s="190"/>
      <c r="AV460" s="202"/>
      <c r="AW460" s="190"/>
      <c r="AX460" s="190"/>
      <c r="AY460" s="79"/>
      <c r="AZ460" s="65">
        <v>323</v>
      </c>
      <c r="BA460" s="78"/>
      <c r="BB460" s="65">
        <v>2</v>
      </c>
      <c r="BC460" s="65">
        <v>19</v>
      </c>
      <c r="BD460" s="65"/>
      <c r="BE460" s="65"/>
      <c r="BF460" s="79"/>
      <c r="BG460" s="65"/>
      <c r="BH460" s="78"/>
      <c r="BI460" s="65"/>
      <c r="BJ460" s="68"/>
      <c r="BK460" s="256"/>
    </row>
    <row r="461" spans="1:63" ht="23.25" customHeight="1" thickBot="1" x14ac:dyDescent="0.25">
      <c r="A461" s="7">
        <v>460</v>
      </c>
      <c r="B461" s="238">
        <v>194</v>
      </c>
      <c r="C461" s="238" t="s">
        <v>1793</v>
      </c>
      <c r="D461" s="225" t="s">
        <v>135</v>
      </c>
      <c r="E461" s="54" t="s">
        <v>420</v>
      </c>
      <c r="F461" s="16">
        <f>11.6/14*100</f>
        <v>82.857142857142847</v>
      </c>
      <c r="G461" s="8">
        <f>1.4/14*100</f>
        <v>10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17">
        <v>0</v>
      </c>
      <c r="T461" s="8">
        <f>1/14*100</f>
        <v>7.1428571428571423</v>
      </c>
      <c r="U461" s="8">
        <v>0</v>
      </c>
      <c r="V461" s="8">
        <v>0</v>
      </c>
      <c r="W461" s="8">
        <v>0</v>
      </c>
      <c r="X461" s="8">
        <v>0</v>
      </c>
      <c r="Y461" s="8">
        <v>0</v>
      </c>
      <c r="Z461" s="8">
        <v>0</v>
      </c>
      <c r="AA461" s="8">
        <v>0</v>
      </c>
      <c r="AB461" s="8">
        <v>0</v>
      </c>
      <c r="AC461" s="8">
        <v>0</v>
      </c>
      <c r="AD461" s="14">
        <f t="shared" si="35"/>
        <v>99.999999999999986</v>
      </c>
      <c r="AE461" s="8">
        <f>0.935/14*100</f>
        <v>6.6785714285714297</v>
      </c>
      <c r="AF461" s="8">
        <v>0</v>
      </c>
      <c r="AG461" s="8">
        <v>0</v>
      </c>
      <c r="AH461" s="8">
        <v>0</v>
      </c>
      <c r="AI461" s="39" t="s">
        <v>1531</v>
      </c>
      <c r="AJ461" s="7">
        <v>5</v>
      </c>
      <c r="AK461" s="62">
        <v>1473</v>
      </c>
      <c r="AL461" s="158"/>
      <c r="AM461" s="85"/>
      <c r="AN461" s="85"/>
      <c r="AO461" s="85"/>
      <c r="AP461" s="85"/>
      <c r="AQ461" s="85"/>
      <c r="AR461" s="85"/>
      <c r="AS461" s="85"/>
      <c r="AT461" s="205"/>
      <c r="AU461" s="85"/>
      <c r="AV461" s="196"/>
      <c r="AW461" s="85"/>
      <c r="AX461" s="85"/>
      <c r="AY461" s="39"/>
      <c r="AZ461" s="7">
        <v>277.7</v>
      </c>
      <c r="BA461" s="62"/>
      <c r="BB461" s="7"/>
      <c r="BC461" s="7"/>
      <c r="BD461" s="7"/>
      <c r="BE461" s="7"/>
      <c r="BF461" s="39"/>
      <c r="BG461" s="7"/>
      <c r="BH461" s="62"/>
      <c r="BI461" s="7"/>
      <c r="BJ461" s="32"/>
      <c r="BK461" s="256" t="s">
        <v>1895</v>
      </c>
    </row>
    <row r="462" spans="1:63" ht="23.25" customHeight="1" thickBot="1" x14ac:dyDescent="0.25">
      <c r="A462" s="62">
        <v>461</v>
      </c>
      <c r="B462" s="221"/>
      <c r="C462" s="221"/>
      <c r="D462" s="223"/>
      <c r="E462" s="54" t="s">
        <v>421</v>
      </c>
      <c r="F462" s="16">
        <f>11.6/14*100</f>
        <v>82.857142857142847</v>
      </c>
      <c r="G462" s="8">
        <f>1.4/14*100</f>
        <v>10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17">
        <v>0</v>
      </c>
      <c r="T462" s="8">
        <f>1/14*100</f>
        <v>7.1428571428571423</v>
      </c>
      <c r="U462" s="8">
        <v>0</v>
      </c>
      <c r="V462" s="8">
        <v>0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14">
        <f t="shared" si="35"/>
        <v>99.999999999999986</v>
      </c>
      <c r="AE462" s="8">
        <f>0.954/14*100</f>
        <v>6.8142857142857141</v>
      </c>
      <c r="AF462" s="8">
        <v>0</v>
      </c>
      <c r="AG462" s="8">
        <v>0</v>
      </c>
      <c r="AH462" s="8">
        <v>0</v>
      </c>
      <c r="AI462" s="39" t="s">
        <v>1531</v>
      </c>
      <c r="AJ462" s="7">
        <v>5</v>
      </c>
      <c r="AK462" s="62">
        <v>1473</v>
      </c>
      <c r="AL462" s="158"/>
      <c r="AM462" s="85"/>
      <c r="AN462" s="85"/>
      <c r="AO462" s="85"/>
      <c r="AP462" s="85"/>
      <c r="AQ462" s="85"/>
      <c r="AR462" s="85"/>
      <c r="AS462" s="85"/>
      <c r="AT462" s="205"/>
      <c r="AU462" s="85"/>
      <c r="AV462" s="196"/>
      <c r="AW462" s="85"/>
      <c r="AX462" s="85"/>
      <c r="AY462" s="39"/>
      <c r="AZ462" s="7">
        <v>284.10000000000002</v>
      </c>
      <c r="BA462" s="62"/>
      <c r="BB462" s="7"/>
      <c r="BC462" s="7"/>
      <c r="BD462" s="7"/>
      <c r="BE462" s="7"/>
      <c r="BF462" s="39"/>
      <c r="BG462" s="7"/>
      <c r="BH462" s="62"/>
      <c r="BI462" s="7"/>
      <c r="BJ462" s="32"/>
      <c r="BK462" s="256"/>
    </row>
    <row r="463" spans="1:63" ht="23.25" customHeight="1" thickBot="1" x14ac:dyDescent="0.25">
      <c r="A463" s="7">
        <v>462</v>
      </c>
      <c r="B463" s="221"/>
      <c r="C463" s="221"/>
      <c r="D463" s="223"/>
      <c r="E463" s="54" t="s">
        <v>422</v>
      </c>
      <c r="F463" s="16">
        <f t="shared" ref="F463:F470" si="36">11.6/14*100</f>
        <v>82.857142857142847</v>
      </c>
      <c r="G463" s="8">
        <f t="shared" ref="G463:G470" si="37">1.4/14*100</f>
        <v>10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17">
        <v>0</v>
      </c>
      <c r="T463" s="8">
        <f t="shared" ref="T463:T470" si="38">1/14*100</f>
        <v>7.1428571428571423</v>
      </c>
      <c r="U463" s="8">
        <v>0</v>
      </c>
      <c r="V463" s="8">
        <v>0</v>
      </c>
      <c r="W463" s="8">
        <v>0</v>
      </c>
      <c r="X463" s="8">
        <v>0</v>
      </c>
      <c r="Y463" s="8">
        <v>0</v>
      </c>
      <c r="Z463" s="8">
        <v>0</v>
      </c>
      <c r="AA463" s="8">
        <v>0</v>
      </c>
      <c r="AB463" s="8">
        <v>0</v>
      </c>
      <c r="AC463" s="8">
        <v>0</v>
      </c>
      <c r="AD463" s="14">
        <f t="shared" si="35"/>
        <v>99.999999999999986</v>
      </c>
      <c r="AE463" s="8">
        <f>0.96/14*100</f>
        <v>6.8571428571428577</v>
      </c>
      <c r="AF463" s="8">
        <v>0</v>
      </c>
      <c r="AG463" s="8">
        <v>0</v>
      </c>
      <c r="AH463" s="8">
        <v>0</v>
      </c>
      <c r="AI463" s="39" t="s">
        <v>1531</v>
      </c>
      <c r="AJ463" s="7">
        <v>5</v>
      </c>
      <c r="AK463" s="62">
        <v>1473</v>
      </c>
      <c r="AL463" s="158"/>
      <c r="AM463" s="85"/>
      <c r="AN463" s="85"/>
      <c r="AO463" s="85"/>
      <c r="AP463" s="85"/>
      <c r="AQ463" s="85"/>
      <c r="AR463" s="85"/>
      <c r="AS463" s="85"/>
      <c r="AT463" s="205"/>
      <c r="AU463" s="85"/>
      <c r="AV463" s="196"/>
      <c r="AW463" s="85"/>
      <c r="AX463" s="85"/>
      <c r="AY463" s="39"/>
      <c r="AZ463" s="7">
        <v>285.8</v>
      </c>
      <c r="BA463" s="62"/>
      <c r="BB463" s="7"/>
      <c r="BC463" s="7"/>
      <c r="BD463" s="7"/>
      <c r="BE463" s="7"/>
      <c r="BF463" s="39"/>
      <c r="BG463" s="7"/>
      <c r="BH463" s="62"/>
      <c r="BI463" s="7"/>
      <c r="BJ463" s="32"/>
      <c r="BK463" s="256"/>
    </row>
    <row r="464" spans="1:63" ht="23.25" customHeight="1" thickBot="1" x14ac:dyDescent="0.25">
      <c r="A464" s="62">
        <v>463</v>
      </c>
      <c r="B464" s="221"/>
      <c r="C464" s="221"/>
      <c r="D464" s="223"/>
      <c r="E464" s="54" t="s">
        <v>423</v>
      </c>
      <c r="F464" s="16">
        <f t="shared" si="36"/>
        <v>82.857142857142847</v>
      </c>
      <c r="G464" s="8">
        <f t="shared" si="37"/>
        <v>10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17">
        <v>0</v>
      </c>
      <c r="T464" s="8">
        <f t="shared" si="38"/>
        <v>7.1428571428571423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14">
        <f t="shared" si="35"/>
        <v>99.999999999999986</v>
      </c>
      <c r="AE464" s="8">
        <f>0.985/14*100</f>
        <v>7.0357142857142856</v>
      </c>
      <c r="AF464" s="8">
        <v>0</v>
      </c>
      <c r="AG464" s="8">
        <v>0</v>
      </c>
      <c r="AH464" s="8">
        <v>0</v>
      </c>
      <c r="AI464" s="39" t="s">
        <v>1531</v>
      </c>
      <c r="AJ464" s="7">
        <v>5</v>
      </c>
      <c r="AK464" s="62">
        <v>1473</v>
      </c>
      <c r="AL464" s="158"/>
      <c r="AM464" s="85"/>
      <c r="AN464" s="85"/>
      <c r="AO464" s="85"/>
      <c r="AP464" s="85"/>
      <c r="AQ464" s="85"/>
      <c r="AR464" s="85"/>
      <c r="AS464" s="85"/>
      <c r="AT464" s="205"/>
      <c r="AU464" s="85"/>
      <c r="AV464" s="196"/>
      <c r="AW464" s="85"/>
      <c r="AX464" s="85"/>
      <c r="AY464" s="39"/>
      <c r="AZ464" s="7">
        <v>288.7</v>
      </c>
      <c r="BA464" s="62"/>
      <c r="BB464" s="7"/>
      <c r="BC464" s="7"/>
      <c r="BD464" s="7"/>
      <c r="BE464" s="7"/>
      <c r="BF464" s="39"/>
      <c r="BG464" s="7"/>
      <c r="BH464" s="62"/>
      <c r="BI464" s="7"/>
      <c r="BJ464" s="32"/>
      <c r="BK464" s="256"/>
    </row>
    <row r="465" spans="1:63" ht="23.25" customHeight="1" thickBot="1" x14ac:dyDescent="0.25">
      <c r="A465" s="7">
        <v>464</v>
      </c>
      <c r="B465" s="221"/>
      <c r="C465" s="221"/>
      <c r="D465" s="223"/>
      <c r="E465" s="54" t="s">
        <v>424</v>
      </c>
      <c r="F465" s="16">
        <f t="shared" si="36"/>
        <v>82.857142857142847</v>
      </c>
      <c r="G465" s="8">
        <f t="shared" si="37"/>
        <v>10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17">
        <v>0</v>
      </c>
      <c r="T465" s="8">
        <f t="shared" si="38"/>
        <v>7.1428571428571423</v>
      </c>
      <c r="U465" s="8">
        <v>0</v>
      </c>
      <c r="V465" s="8">
        <v>0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  <c r="AD465" s="14">
        <f t="shared" si="35"/>
        <v>99.999999999999986</v>
      </c>
      <c r="AE465" s="8">
        <f>1.005/14*100</f>
        <v>7.178571428571427</v>
      </c>
      <c r="AF465" s="8">
        <v>0</v>
      </c>
      <c r="AG465" s="8">
        <v>0</v>
      </c>
      <c r="AH465" s="8">
        <v>0</v>
      </c>
      <c r="AI465" s="39" t="s">
        <v>1531</v>
      </c>
      <c r="AJ465" s="7">
        <v>5</v>
      </c>
      <c r="AK465" s="62">
        <v>1473</v>
      </c>
      <c r="AL465" s="158"/>
      <c r="AM465" s="85"/>
      <c r="AN465" s="85"/>
      <c r="AO465" s="85"/>
      <c r="AP465" s="85"/>
      <c r="AQ465" s="85"/>
      <c r="AR465" s="85"/>
      <c r="AS465" s="85"/>
      <c r="AT465" s="205"/>
      <c r="AU465" s="85"/>
      <c r="AV465" s="196"/>
      <c r="AW465" s="85"/>
      <c r="AX465" s="85"/>
      <c r="AY465" s="39"/>
      <c r="AZ465" s="7">
        <v>290.10000000000002</v>
      </c>
      <c r="BA465" s="62"/>
      <c r="BB465" s="7"/>
      <c r="BC465" s="7"/>
      <c r="BD465" s="7"/>
      <c r="BE465" s="7"/>
      <c r="BF465" s="39"/>
      <c r="BG465" s="7"/>
      <c r="BH465" s="62"/>
      <c r="BI465" s="7"/>
      <c r="BJ465" s="32"/>
      <c r="BK465" s="256"/>
    </row>
    <row r="466" spans="1:63" ht="23.25" customHeight="1" thickBot="1" x14ac:dyDescent="0.25">
      <c r="A466" s="62">
        <v>465</v>
      </c>
      <c r="B466" s="221"/>
      <c r="C466" s="221"/>
      <c r="D466" s="223"/>
      <c r="E466" s="54" t="s">
        <v>425</v>
      </c>
      <c r="F466" s="16">
        <f t="shared" si="36"/>
        <v>82.857142857142847</v>
      </c>
      <c r="G466" s="8">
        <f t="shared" si="37"/>
        <v>10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17">
        <v>0</v>
      </c>
      <c r="T466" s="8">
        <f t="shared" si="38"/>
        <v>7.1428571428571423</v>
      </c>
      <c r="U466" s="8">
        <v>0</v>
      </c>
      <c r="V466" s="8">
        <v>0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14">
        <f t="shared" si="35"/>
        <v>99.999999999999986</v>
      </c>
      <c r="AE466" s="8">
        <f>1.01/14*100</f>
        <v>7.2142857142857144</v>
      </c>
      <c r="AF466" s="8">
        <v>0</v>
      </c>
      <c r="AG466" s="8">
        <v>0</v>
      </c>
      <c r="AH466" s="8">
        <v>0</v>
      </c>
      <c r="AI466" s="39" t="s">
        <v>1531</v>
      </c>
      <c r="AJ466" s="7">
        <v>5</v>
      </c>
      <c r="AK466" s="62">
        <v>1473</v>
      </c>
      <c r="AL466" s="158"/>
      <c r="AM466" s="85"/>
      <c r="AN466" s="85"/>
      <c r="AO466" s="85"/>
      <c r="AP466" s="85"/>
      <c r="AQ466" s="85"/>
      <c r="AR466" s="85"/>
      <c r="AS466" s="85"/>
      <c r="AT466" s="205"/>
      <c r="AU466" s="85"/>
      <c r="AV466" s="196"/>
      <c r="AW466" s="85"/>
      <c r="AX466" s="85"/>
      <c r="AY466" s="39"/>
      <c r="AZ466" s="7">
        <v>292.7</v>
      </c>
      <c r="BA466" s="62"/>
      <c r="BB466" s="7"/>
      <c r="BC466" s="7"/>
      <c r="BD466" s="7"/>
      <c r="BE466" s="7"/>
      <c r="BF466" s="39"/>
      <c r="BG466" s="7"/>
      <c r="BH466" s="62"/>
      <c r="BI466" s="7"/>
      <c r="BJ466" s="32"/>
      <c r="BK466" s="256"/>
    </row>
    <row r="467" spans="1:63" ht="23.25" customHeight="1" thickBot="1" x14ac:dyDescent="0.25">
      <c r="A467" s="7">
        <v>466</v>
      </c>
      <c r="B467" s="221"/>
      <c r="C467" s="221"/>
      <c r="D467" s="223"/>
      <c r="E467" s="54" t="s">
        <v>426</v>
      </c>
      <c r="F467" s="16">
        <f t="shared" si="36"/>
        <v>82.857142857142847</v>
      </c>
      <c r="G467" s="8">
        <f t="shared" si="37"/>
        <v>10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>
        <v>0</v>
      </c>
      <c r="S467" s="17">
        <v>0</v>
      </c>
      <c r="T467" s="8">
        <f t="shared" si="38"/>
        <v>7.1428571428571423</v>
      </c>
      <c r="U467" s="8">
        <v>0</v>
      </c>
      <c r="V467" s="8">
        <v>0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14">
        <f t="shared" si="35"/>
        <v>99.999999999999986</v>
      </c>
      <c r="AE467" s="8">
        <f>1.06/14*100</f>
        <v>7.5714285714285721</v>
      </c>
      <c r="AF467" s="8">
        <v>0</v>
      </c>
      <c r="AG467" s="8">
        <v>0</v>
      </c>
      <c r="AH467" s="8">
        <v>0</v>
      </c>
      <c r="AI467" s="39" t="s">
        <v>1531</v>
      </c>
      <c r="AJ467" s="7">
        <v>5</v>
      </c>
      <c r="AK467" s="62">
        <v>1473</v>
      </c>
      <c r="AL467" s="158"/>
      <c r="AM467" s="85"/>
      <c r="AN467" s="85"/>
      <c r="AO467" s="85"/>
      <c r="AP467" s="85"/>
      <c r="AQ467" s="85"/>
      <c r="AR467" s="85"/>
      <c r="AS467" s="85"/>
      <c r="AT467" s="205"/>
      <c r="AU467" s="85"/>
      <c r="AV467" s="196"/>
      <c r="AW467" s="85"/>
      <c r="AX467" s="85"/>
      <c r="AY467" s="39"/>
      <c r="AZ467" s="7">
        <v>296.10000000000002</v>
      </c>
      <c r="BA467" s="62"/>
      <c r="BB467" s="7"/>
      <c r="BC467" s="7"/>
      <c r="BD467" s="7"/>
      <c r="BE467" s="7"/>
      <c r="BF467" s="39"/>
      <c r="BG467" s="7"/>
      <c r="BH467" s="62"/>
      <c r="BI467" s="7"/>
      <c r="BJ467" s="32"/>
      <c r="BK467" s="256"/>
    </row>
    <row r="468" spans="1:63" ht="23.25" customHeight="1" thickBot="1" x14ac:dyDescent="0.25">
      <c r="A468" s="62">
        <v>467</v>
      </c>
      <c r="B468" s="221"/>
      <c r="C468" s="221"/>
      <c r="D468" s="223"/>
      <c r="E468" s="54" t="s">
        <v>427</v>
      </c>
      <c r="F468" s="16">
        <f t="shared" si="36"/>
        <v>82.857142857142847</v>
      </c>
      <c r="G468" s="8">
        <f t="shared" si="37"/>
        <v>10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17">
        <v>0</v>
      </c>
      <c r="T468" s="8">
        <f t="shared" si="38"/>
        <v>7.1428571428571423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>
        <v>0</v>
      </c>
      <c r="AC468" s="8">
        <v>0</v>
      </c>
      <c r="AD468" s="14">
        <f t="shared" si="35"/>
        <v>99.999999999999986</v>
      </c>
      <c r="AE468" s="8">
        <f>1.099/14*100</f>
        <v>7.85</v>
      </c>
      <c r="AF468" s="8">
        <v>0</v>
      </c>
      <c r="AG468" s="8">
        <v>0</v>
      </c>
      <c r="AH468" s="8">
        <v>0</v>
      </c>
      <c r="AI468" s="39" t="s">
        <v>1531</v>
      </c>
      <c r="AJ468" s="7">
        <v>5</v>
      </c>
      <c r="AK468" s="62">
        <v>1473</v>
      </c>
      <c r="AL468" s="158"/>
      <c r="AM468" s="85"/>
      <c r="AN468" s="85"/>
      <c r="AO468" s="85"/>
      <c r="AP468" s="85"/>
      <c r="AQ468" s="85"/>
      <c r="AR468" s="85"/>
      <c r="AS468" s="85"/>
      <c r="AT468" s="205"/>
      <c r="AU468" s="85"/>
      <c r="AV468" s="196"/>
      <c r="AW468" s="85"/>
      <c r="AX468" s="85"/>
      <c r="AY468" s="39"/>
      <c r="AZ468" s="7">
        <v>305.3</v>
      </c>
      <c r="BA468" s="62"/>
      <c r="BB468" s="7"/>
      <c r="BC468" s="7"/>
      <c r="BD468" s="7"/>
      <c r="BE468" s="7"/>
      <c r="BF468" s="39"/>
      <c r="BG468" s="7"/>
      <c r="BH468" s="62"/>
      <c r="BI468" s="7"/>
      <c r="BJ468" s="32"/>
      <c r="BK468" s="256"/>
    </row>
    <row r="469" spans="1:63" ht="23.25" customHeight="1" thickBot="1" x14ac:dyDescent="0.25">
      <c r="A469" s="7">
        <v>468</v>
      </c>
      <c r="B469" s="221"/>
      <c r="C469" s="221"/>
      <c r="D469" s="223"/>
      <c r="E469" s="54" t="s">
        <v>428</v>
      </c>
      <c r="F469" s="16">
        <f t="shared" si="36"/>
        <v>82.857142857142847</v>
      </c>
      <c r="G469" s="8">
        <f t="shared" si="37"/>
        <v>10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17">
        <v>0</v>
      </c>
      <c r="T469" s="8">
        <f t="shared" si="38"/>
        <v>7.1428571428571423</v>
      </c>
      <c r="U469" s="8">
        <v>0</v>
      </c>
      <c r="V469" s="8">
        <v>0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  <c r="AD469" s="14">
        <f t="shared" si="35"/>
        <v>99.999999999999986</v>
      </c>
      <c r="AE469" s="8">
        <f>1.138/14*100</f>
        <v>8.1285714285714281</v>
      </c>
      <c r="AF469" s="8">
        <v>0</v>
      </c>
      <c r="AG469" s="8">
        <v>0</v>
      </c>
      <c r="AH469" s="8">
        <v>0</v>
      </c>
      <c r="AI469" s="39" t="s">
        <v>1531</v>
      </c>
      <c r="AJ469" s="7">
        <v>5</v>
      </c>
      <c r="AK469" s="62">
        <v>1473</v>
      </c>
      <c r="AL469" s="158"/>
      <c r="AM469" s="85"/>
      <c r="AN469" s="85"/>
      <c r="AO469" s="85"/>
      <c r="AP469" s="85"/>
      <c r="AQ469" s="85"/>
      <c r="AR469" s="85"/>
      <c r="AS469" s="85"/>
      <c r="AT469" s="205"/>
      <c r="AU469" s="85"/>
      <c r="AV469" s="196"/>
      <c r="AW469" s="85"/>
      <c r="AX469" s="85"/>
      <c r="AY469" s="39"/>
      <c r="AZ469" s="7">
        <v>310.60000000000002</v>
      </c>
      <c r="BA469" s="62"/>
      <c r="BB469" s="7"/>
      <c r="BC469" s="7"/>
      <c r="BD469" s="7"/>
      <c r="BE469" s="7"/>
      <c r="BF469" s="39"/>
      <c r="BG469" s="7"/>
      <c r="BH469" s="62"/>
      <c r="BI469" s="7"/>
      <c r="BJ469" s="32"/>
      <c r="BK469" s="256"/>
    </row>
    <row r="470" spans="1:63" ht="23.25" customHeight="1" thickBot="1" x14ac:dyDescent="0.25">
      <c r="A470" s="62">
        <v>469</v>
      </c>
      <c r="B470" s="222"/>
      <c r="C470" s="222"/>
      <c r="D470" s="224"/>
      <c r="E470" s="54" t="s">
        <v>429</v>
      </c>
      <c r="F470" s="16">
        <f t="shared" si="36"/>
        <v>82.857142857142847</v>
      </c>
      <c r="G470" s="8">
        <f t="shared" si="37"/>
        <v>10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17">
        <v>0</v>
      </c>
      <c r="T470" s="8">
        <f t="shared" si="38"/>
        <v>7.1428571428571423</v>
      </c>
      <c r="U470" s="8">
        <v>0</v>
      </c>
      <c r="V470" s="8">
        <v>0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0</v>
      </c>
      <c r="AC470" s="8">
        <v>0</v>
      </c>
      <c r="AD470" s="14">
        <f t="shared" si="35"/>
        <v>99.999999999999986</v>
      </c>
      <c r="AE470" s="8">
        <f>1.26/14*100</f>
        <v>9</v>
      </c>
      <c r="AF470" s="8">
        <v>0</v>
      </c>
      <c r="AG470" s="8">
        <v>0</v>
      </c>
      <c r="AH470" s="8">
        <v>0</v>
      </c>
      <c r="AI470" s="39" t="s">
        <v>1531</v>
      </c>
      <c r="AJ470" s="7">
        <v>5</v>
      </c>
      <c r="AK470" s="62">
        <v>1473</v>
      </c>
      <c r="AL470" s="158"/>
      <c r="AM470" s="85"/>
      <c r="AN470" s="85"/>
      <c r="AO470" s="85"/>
      <c r="AP470" s="85"/>
      <c r="AQ470" s="85"/>
      <c r="AR470" s="85"/>
      <c r="AS470" s="85"/>
      <c r="AT470" s="205"/>
      <c r="AU470" s="85"/>
      <c r="AV470" s="196"/>
      <c r="AW470" s="85"/>
      <c r="AX470" s="85"/>
      <c r="AY470" s="39"/>
      <c r="AZ470" s="7">
        <v>327</v>
      </c>
      <c r="BA470" s="62"/>
      <c r="BB470" s="7"/>
      <c r="BC470" s="7"/>
      <c r="BD470" s="7"/>
      <c r="BE470" s="7"/>
      <c r="BF470" s="39"/>
      <c r="BG470" s="7"/>
      <c r="BH470" s="62"/>
      <c r="BI470" s="7"/>
      <c r="BJ470" s="32"/>
      <c r="BK470" s="256"/>
    </row>
    <row r="471" spans="1:63" s="4" customFormat="1" ht="23.25" customHeight="1" thickBot="1" x14ac:dyDescent="0.25">
      <c r="A471" s="7">
        <v>470</v>
      </c>
      <c r="B471" s="238">
        <v>197</v>
      </c>
      <c r="C471" s="238" t="s">
        <v>1794</v>
      </c>
      <c r="D471" s="225" t="s">
        <v>432</v>
      </c>
      <c r="E471" s="12" t="s">
        <v>241</v>
      </c>
      <c r="F471" s="87">
        <v>82.142857142857139</v>
      </c>
      <c r="G471" s="88">
        <v>10.714285714285714</v>
      </c>
      <c r="H471" s="88">
        <v>0</v>
      </c>
      <c r="I471" s="88">
        <v>0</v>
      </c>
      <c r="J471" s="88">
        <v>0</v>
      </c>
      <c r="K471" s="88">
        <v>0</v>
      </c>
      <c r="L471" s="88">
        <v>0</v>
      </c>
      <c r="M471" s="88">
        <v>0</v>
      </c>
      <c r="N471" s="88">
        <v>0</v>
      </c>
      <c r="O471" s="88">
        <v>0</v>
      </c>
      <c r="P471" s="88">
        <v>0</v>
      </c>
      <c r="Q471" s="88">
        <v>0</v>
      </c>
      <c r="R471" s="88">
        <v>0</v>
      </c>
      <c r="S471" s="89">
        <v>0</v>
      </c>
      <c r="T471" s="88">
        <v>7.1428571428571423</v>
      </c>
      <c r="U471" s="88">
        <v>0</v>
      </c>
      <c r="V471" s="88">
        <v>0</v>
      </c>
      <c r="W471" s="88">
        <v>0</v>
      </c>
      <c r="X471" s="88">
        <v>0</v>
      </c>
      <c r="Y471" s="88">
        <v>0</v>
      </c>
      <c r="Z471" s="88">
        <v>0</v>
      </c>
      <c r="AA471" s="88">
        <v>0</v>
      </c>
      <c r="AB471" s="88">
        <v>0</v>
      </c>
      <c r="AC471" s="88">
        <v>0</v>
      </c>
      <c r="AD471" s="90">
        <f t="shared" si="35"/>
        <v>99.999999999999986</v>
      </c>
      <c r="AE471" s="88">
        <v>0</v>
      </c>
      <c r="AF471" s="88">
        <v>0</v>
      </c>
      <c r="AG471" s="88">
        <v>0</v>
      </c>
      <c r="AH471" s="88">
        <v>0</v>
      </c>
      <c r="AI471" s="156" t="s">
        <v>1531</v>
      </c>
      <c r="AJ471" s="45">
        <v>600</v>
      </c>
      <c r="AK471" s="91">
        <v>1323</v>
      </c>
      <c r="AL471" s="197"/>
      <c r="AM471" s="189"/>
      <c r="AN471" s="189"/>
      <c r="AO471" s="189"/>
      <c r="AP471" s="189"/>
      <c r="AQ471" s="189"/>
      <c r="AR471" s="189"/>
      <c r="AS471" s="189"/>
      <c r="AT471" s="198"/>
      <c r="AU471" s="189"/>
      <c r="AV471" s="199"/>
      <c r="AW471" s="189"/>
      <c r="AX471" s="189"/>
      <c r="AY471" s="156">
        <v>0.01</v>
      </c>
      <c r="AZ471" s="45">
        <v>204.2</v>
      </c>
      <c r="BA471" s="91"/>
      <c r="BB471" s="45"/>
      <c r="BC471" s="45"/>
      <c r="BD471" s="45"/>
      <c r="BE471" s="45"/>
      <c r="BF471" s="156"/>
      <c r="BG471" s="45"/>
      <c r="BH471" s="91"/>
      <c r="BI471" s="45"/>
      <c r="BJ471" s="67"/>
      <c r="BK471" s="256"/>
    </row>
    <row r="472" spans="1:63" ht="23.25" customHeight="1" thickBot="1" x14ac:dyDescent="0.25">
      <c r="A472" s="62">
        <v>471</v>
      </c>
      <c r="B472" s="221"/>
      <c r="C472" s="221"/>
      <c r="D472" s="223"/>
      <c r="E472" s="54" t="s">
        <v>242</v>
      </c>
      <c r="F472" s="16">
        <v>80</v>
      </c>
      <c r="G472" s="8">
        <v>10.714285714285714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2.1428571428571428</v>
      </c>
      <c r="Q472" s="8">
        <v>0</v>
      </c>
      <c r="R472" s="8">
        <v>0</v>
      </c>
      <c r="S472" s="17">
        <v>0</v>
      </c>
      <c r="T472" s="8">
        <v>7.1428571428571423</v>
      </c>
      <c r="U472" s="8">
        <v>0</v>
      </c>
      <c r="V472" s="8">
        <v>0</v>
      </c>
      <c r="W472" s="8">
        <v>0</v>
      </c>
      <c r="X472" s="8">
        <v>0</v>
      </c>
      <c r="Y472" s="8">
        <v>0</v>
      </c>
      <c r="Z472" s="8">
        <v>0</v>
      </c>
      <c r="AA472" s="8">
        <v>0</v>
      </c>
      <c r="AB472" s="8">
        <v>0</v>
      </c>
      <c r="AC472" s="8">
        <v>0</v>
      </c>
      <c r="AD472" s="14">
        <f t="shared" si="35"/>
        <v>99.999999999999986</v>
      </c>
      <c r="AE472" s="8">
        <v>0</v>
      </c>
      <c r="AF472" s="8">
        <v>0</v>
      </c>
      <c r="AG472" s="8">
        <v>0</v>
      </c>
      <c r="AH472" s="8">
        <v>0</v>
      </c>
      <c r="AI472" s="39" t="s">
        <v>1531</v>
      </c>
      <c r="AJ472" s="7">
        <v>600</v>
      </c>
      <c r="AK472" s="62">
        <v>1323</v>
      </c>
      <c r="AL472" s="158"/>
      <c r="AM472" s="85"/>
      <c r="AN472" s="85"/>
      <c r="AO472" s="85"/>
      <c r="AP472" s="85"/>
      <c r="AQ472" s="85"/>
      <c r="AR472" s="85"/>
      <c r="AS472" s="85"/>
      <c r="AT472" s="205"/>
      <c r="AU472" s="85"/>
      <c r="AV472" s="196"/>
      <c r="AW472" s="85"/>
      <c r="AX472" s="85"/>
      <c r="AY472" s="39">
        <v>0.01</v>
      </c>
      <c r="AZ472" s="7">
        <v>198</v>
      </c>
      <c r="BA472" s="62"/>
      <c r="BB472" s="7"/>
      <c r="BC472" s="7"/>
      <c r="BD472" s="7"/>
      <c r="BE472" s="7"/>
      <c r="BF472" s="39"/>
      <c r="BG472" s="7"/>
      <c r="BH472" s="62"/>
      <c r="BI472" s="7"/>
      <c r="BJ472" s="32"/>
      <c r="BK472" s="256"/>
    </row>
    <row r="473" spans="1:63" ht="23.25" customHeight="1" thickBot="1" x14ac:dyDescent="0.25">
      <c r="A473" s="7">
        <v>472</v>
      </c>
      <c r="B473" s="221"/>
      <c r="C473" s="221"/>
      <c r="D473" s="223"/>
      <c r="E473" s="54" t="s">
        <v>243</v>
      </c>
      <c r="F473" s="16">
        <v>79.285714285714278</v>
      </c>
      <c r="G473" s="8">
        <v>10.714285714285714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2.8571428571428572</v>
      </c>
      <c r="Q473" s="8">
        <v>0</v>
      </c>
      <c r="R473" s="8">
        <v>0</v>
      </c>
      <c r="S473" s="17">
        <v>0</v>
      </c>
      <c r="T473" s="8">
        <v>7.1428571428571423</v>
      </c>
      <c r="U473" s="8">
        <v>0</v>
      </c>
      <c r="V473" s="8">
        <v>0</v>
      </c>
      <c r="W473" s="8">
        <v>0</v>
      </c>
      <c r="X473" s="8">
        <v>0</v>
      </c>
      <c r="Y473" s="8">
        <v>0</v>
      </c>
      <c r="Z473" s="8">
        <v>0</v>
      </c>
      <c r="AA473" s="8">
        <v>0</v>
      </c>
      <c r="AB473" s="8">
        <v>0</v>
      </c>
      <c r="AC473" s="8">
        <v>0</v>
      </c>
      <c r="AD473" s="14">
        <f t="shared" si="35"/>
        <v>99.999999999999986</v>
      </c>
      <c r="AE473" s="8">
        <v>0</v>
      </c>
      <c r="AF473" s="8">
        <v>0</v>
      </c>
      <c r="AG473" s="8">
        <v>0</v>
      </c>
      <c r="AH473" s="8">
        <v>0</v>
      </c>
      <c r="AI473" s="39" t="s">
        <v>1531</v>
      </c>
      <c r="AJ473" s="7">
        <v>600</v>
      </c>
      <c r="AK473" s="62">
        <v>1323</v>
      </c>
      <c r="AL473" s="158"/>
      <c r="AM473" s="85"/>
      <c r="AN473" s="85"/>
      <c r="AO473" s="85"/>
      <c r="AP473" s="85"/>
      <c r="AQ473" s="85"/>
      <c r="AR473" s="85"/>
      <c r="AS473" s="85"/>
      <c r="AT473" s="205"/>
      <c r="AU473" s="85"/>
      <c r="AV473" s="196"/>
      <c r="AW473" s="85"/>
      <c r="AX473" s="85"/>
      <c r="AY473" s="39">
        <v>0.01</v>
      </c>
      <c r="AZ473" s="7">
        <v>187.5</v>
      </c>
      <c r="BA473" s="62"/>
      <c r="BB473" s="7"/>
      <c r="BC473" s="7"/>
      <c r="BD473" s="7"/>
      <c r="BE473" s="7"/>
      <c r="BF473" s="39"/>
      <c r="BG473" s="7"/>
      <c r="BH473" s="62"/>
      <c r="BI473" s="7"/>
      <c r="BJ473" s="32"/>
      <c r="BK473" s="256"/>
    </row>
    <row r="474" spans="1:63" s="6" customFormat="1" ht="23.25" customHeight="1" thickBot="1" x14ac:dyDescent="0.25">
      <c r="A474" s="62">
        <v>473</v>
      </c>
      <c r="B474" s="222"/>
      <c r="C474" s="222"/>
      <c r="D474" s="224"/>
      <c r="E474" s="13" t="s">
        <v>280</v>
      </c>
      <c r="F474" s="80">
        <v>77.142857142857153</v>
      </c>
      <c r="G474" s="81">
        <v>10.714285714285714</v>
      </c>
      <c r="H474" s="81">
        <v>0</v>
      </c>
      <c r="I474" s="81">
        <v>0</v>
      </c>
      <c r="J474" s="81">
        <v>0</v>
      </c>
      <c r="K474" s="81">
        <v>0</v>
      </c>
      <c r="L474" s="81">
        <v>0</v>
      </c>
      <c r="M474" s="81">
        <v>0</v>
      </c>
      <c r="N474" s="81">
        <v>0</v>
      </c>
      <c r="O474" s="81">
        <v>0</v>
      </c>
      <c r="P474" s="81">
        <v>5</v>
      </c>
      <c r="Q474" s="81">
        <v>0</v>
      </c>
      <c r="R474" s="81">
        <v>0</v>
      </c>
      <c r="S474" s="82">
        <v>0</v>
      </c>
      <c r="T474" s="81">
        <v>7.1428571428571423</v>
      </c>
      <c r="U474" s="81">
        <v>0</v>
      </c>
      <c r="V474" s="81">
        <v>0</v>
      </c>
      <c r="W474" s="81">
        <v>0</v>
      </c>
      <c r="X474" s="81">
        <v>0</v>
      </c>
      <c r="Y474" s="81">
        <v>0</v>
      </c>
      <c r="Z474" s="81">
        <v>0</v>
      </c>
      <c r="AA474" s="81">
        <v>0</v>
      </c>
      <c r="AB474" s="81">
        <v>0</v>
      </c>
      <c r="AC474" s="81">
        <v>0</v>
      </c>
      <c r="AD474" s="83">
        <f t="shared" si="35"/>
        <v>100</v>
      </c>
      <c r="AE474" s="81">
        <v>0</v>
      </c>
      <c r="AF474" s="81">
        <v>0</v>
      </c>
      <c r="AG474" s="81">
        <v>0</v>
      </c>
      <c r="AH474" s="81">
        <v>0</v>
      </c>
      <c r="AI474" s="79" t="s">
        <v>1531</v>
      </c>
      <c r="AJ474" s="65">
        <v>600</v>
      </c>
      <c r="AK474" s="78">
        <v>1323</v>
      </c>
      <c r="AL474" s="200"/>
      <c r="AM474" s="190"/>
      <c r="AN474" s="190"/>
      <c r="AO474" s="190"/>
      <c r="AP474" s="190"/>
      <c r="AQ474" s="190"/>
      <c r="AR474" s="190"/>
      <c r="AS474" s="190"/>
      <c r="AT474" s="201"/>
      <c r="AU474" s="190"/>
      <c r="AV474" s="202"/>
      <c r="AW474" s="190"/>
      <c r="AX474" s="190"/>
      <c r="AY474" s="79">
        <v>0.01</v>
      </c>
      <c r="AZ474" s="65">
        <v>186</v>
      </c>
      <c r="BA474" s="78"/>
      <c r="BB474" s="65"/>
      <c r="BC474" s="65"/>
      <c r="BD474" s="65"/>
      <c r="BE474" s="65"/>
      <c r="BF474" s="79"/>
      <c r="BG474" s="65"/>
      <c r="BH474" s="78"/>
      <c r="BI474" s="65"/>
      <c r="BJ474" s="68"/>
      <c r="BK474" s="256"/>
    </row>
    <row r="475" spans="1:63" ht="23.25" customHeight="1" thickBot="1" x14ac:dyDescent="0.25">
      <c r="A475" s="7">
        <v>474</v>
      </c>
      <c r="B475" s="238">
        <v>198</v>
      </c>
      <c r="C475" s="238" t="s">
        <v>1795</v>
      </c>
      <c r="D475" s="225" t="s">
        <v>136</v>
      </c>
      <c r="E475" s="54" t="s">
        <v>241</v>
      </c>
      <c r="F475" s="16">
        <v>81.428571428571431</v>
      </c>
      <c r="G475" s="8">
        <v>11.428571428571429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17">
        <v>0</v>
      </c>
      <c r="T475" s="8">
        <v>5.7142857142857144</v>
      </c>
      <c r="U475" s="8">
        <v>0</v>
      </c>
      <c r="V475" s="8">
        <v>1.4285714285714286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14">
        <f t="shared" si="35"/>
        <v>100</v>
      </c>
      <c r="AE475" s="8">
        <v>0</v>
      </c>
      <c r="AF475" s="8">
        <v>0</v>
      </c>
      <c r="AG475" s="8">
        <v>0</v>
      </c>
      <c r="AH475" s="8">
        <v>0</v>
      </c>
      <c r="AI475" s="39" t="s">
        <v>1531</v>
      </c>
      <c r="AJ475" s="7"/>
      <c r="AK475" s="62"/>
      <c r="AL475" s="158"/>
      <c r="AM475" s="85"/>
      <c r="AN475" s="85"/>
      <c r="AO475" s="85"/>
      <c r="AP475" s="85"/>
      <c r="AQ475" s="85"/>
      <c r="AR475" s="85"/>
      <c r="AS475" s="85"/>
      <c r="AT475" s="205"/>
      <c r="AU475" s="85"/>
      <c r="AV475" s="196"/>
      <c r="AW475" s="85">
        <v>11.455</v>
      </c>
      <c r="AX475" s="85"/>
      <c r="AY475" s="39">
        <v>0.1</v>
      </c>
      <c r="AZ475" s="7">
        <v>183.9</v>
      </c>
      <c r="BA475" s="62">
        <v>1.75</v>
      </c>
      <c r="BB475" s="7">
        <v>1</v>
      </c>
      <c r="BC475" s="7">
        <v>25.4</v>
      </c>
      <c r="BD475" s="7">
        <v>180.5</v>
      </c>
      <c r="BE475" s="7">
        <v>2.6</v>
      </c>
      <c r="BF475" s="39"/>
      <c r="BG475" s="7"/>
      <c r="BH475" s="62"/>
      <c r="BI475" s="7"/>
      <c r="BJ475" s="32"/>
      <c r="BK475" s="256" t="s">
        <v>8</v>
      </c>
    </row>
    <row r="476" spans="1:63" ht="23.25" customHeight="1" thickBot="1" x14ac:dyDescent="0.25">
      <c r="A476" s="62">
        <v>475</v>
      </c>
      <c r="B476" s="221"/>
      <c r="C476" s="221"/>
      <c r="D476" s="223"/>
      <c r="E476" s="54" t="s">
        <v>248</v>
      </c>
      <c r="F476" s="16">
        <v>81.428571428571431</v>
      </c>
      <c r="G476" s="8">
        <v>11.428571428571429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17">
        <v>0</v>
      </c>
      <c r="T476" s="8">
        <v>5.7142857142857144</v>
      </c>
      <c r="U476" s="8">
        <v>0</v>
      </c>
      <c r="V476" s="8">
        <v>1.4285714285714286</v>
      </c>
      <c r="W476" s="8">
        <v>0</v>
      </c>
      <c r="X476" s="8">
        <v>0</v>
      </c>
      <c r="Y476" s="8">
        <v>0</v>
      </c>
      <c r="Z476" s="8">
        <v>0</v>
      </c>
      <c r="AA476" s="8">
        <v>0</v>
      </c>
      <c r="AB476" s="8">
        <v>0</v>
      </c>
      <c r="AC476" s="8">
        <v>0</v>
      </c>
      <c r="AD476" s="14">
        <f t="shared" si="35"/>
        <v>100</v>
      </c>
      <c r="AE476" s="8">
        <v>0</v>
      </c>
      <c r="AF476" s="8">
        <v>0</v>
      </c>
      <c r="AG476" s="8">
        <v>0</v>
      </c>
      <c r="AH476" s="8">
        <f>0.1/14*100</f>
        <v>0.7142857142857143</v>
      </c>
      <c r="AI476" s="39" t="s">
        <v>1531</v>
      </c>
      <c r="AJ476" s="7"/>
      <c r="AK476" s="62"/>
      <c r="AL476" s="158"/>
      <c r="AM476" s="85"/>
      <c r="AN476" s="85"/>
      <c r="AO476" s="85"/>
      <c r="AP476" s="85"/>
      <c r="AQ476" s="85"/>
      <c r="AR476" s="85"/>
      <c r="AS476" s="85"/>
      <c r="AT476" s="205"/>
      <c r="AU476" s="85"/>
      <c r="AV476" s="196"/>
      <c r="AW476" s="85"/>
      <c r="AX476" s="85"/>
      <c r="AY476" s="39">
        <v>0.1</v>
      </c>
      <c r="AZ476" s="7">
        <v>179.3</v>
      </c>
      <c r="BA476" s="62">
        <v>1.4</v>
      </c>
      <c r="BB476" s="7">
        <v>1</v>
      </c>
      <c r="BC476" s="7">
        <v>28.3</v>
      </c>
      <c r="BD476" s="7">
        <v>177.8</v>
      </c>
      <c r="BE476" s="7">
        <v>2.4</v>
      </c>
      <c r="BF476" s="39"/>
      <c r="BG476" s="7"/>
      <c r="BH476" s="62"/>
      <c r="BI476" s="7"/>
      <c r="BJ476" s="32"/>
      <c r="BK476" s="256"/>
    </row>
    <row r="477" spans="1:63" ht="23.25" customHeight="1" thickBot="1" x14ac:dyDescent="0.25">
      <c r="A477" s="7">
        <v>476</v>
      </c>
      <c r="B477" s="221"/>
      <c r="C477" s="221"/>
      <c r="D477" s="223"/>
      <c r="E477" s="54" t="s">
        <v>249</v>
      </c>
      <c r="F477" s="16">
        <v>81.428571428571431</v>
      </c>
      <c r="G477" s="8">
        <v>11.428571428571429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17">
        <v>0</v>
      </c>
      <c r="T477" s="8">
        <v>5.7142857142857144</v>
      </c>
      <c r="U477" s="8">
        <v>0</v>
      </c>
      <c r="V477" s="8">
        <v>1.4285714285714286</v>
      </c>
      <c r="W477" s="8">
        <v>0</v>
      </c>
      <c r="X477" s="8">
        <v>0</v>
      </c>
      <c r="Y477" s="8">
        <v>0</v>
      </c>
      <c r="Z477" s="8">
        <v>0</v>
      </c>
      <c r="AA477" s="8">
        <v>0</v>
      </c>
      <c r="AB477" s="8">
        <v>0</v>
      </c>
      <c r="AC477" s="8">
        <v>0</v>
      </c>
      <c r="AD477" s="14">
        <f t="shared" si="35"/>
        <v>100</v>
      </c>
      <c r="AE477" s="8">
        <v>0</v>
      </c>
      <c r="AF477" s="8">
        <v>0</v>
      </c>
      <c r="AG477" s="8">
        <v>0</v>
      </c>
      <c r="AH477" s="8">
        <f>0.2/14*100</f>
        <v>1.4285714285714286</v>
      </c>
      <c r="AI477" s="39" t="s">
        <v>1531</v>
      </c>
      <c r="AJ477" s="7"/>
      <c r="AK477" s="62"/>
      <c r="AL477" s="158"/>
      <c r="AM477" s="85"/>
      <c r="AN477" s="85"/>
      <c r="AO477" s="85"/>
      <c r="AP477" s="85"/>
      <c r="AQ477" s="85"/>
      <c r="AR477" s="85"/>
      <c r="AS477" s="85"/>
      <c r="AT477" s="205"/>
      <c r="AU477" s="85"/>
      <c r="AV477" s="196"/>
      <c r="AW477" s="85">
        <v>11.457000000000001</v>
      </c>
      <c r="AX477" s="85"/>
      <c r="AY477" s="39">
        <v>0.1</v>
      </c>
      <c r="AZ477" s="7">
        <v>187.3</v>
      </c>
      <c r="BA477" s="62">
        <v>1.5</v>
      </c>
      <c r="BB477" s="7">
        <v>1</v>
      </c>
      <c r="BC477" s="7">
        <v>24.3</v>
      </c>
      <c r="BD477" s="7">
        <v>182.8</v>
      </c>
      <c r="BE477" s="7">
        <v>2.2999999999999998</v>
      </c>
      <c r="BF477" s="39"/>
      <c r="BG477" s="7"/>
      <c r="BH477" s="62"/>
      <c r="BI477" s="7"/>
      <c r="BJ477" s="32"/>
      <c r="BK477" s="256"/>
    </row>
    <row r="478" spans="1:63" ht="23.25" customHeight="1" thickBot="1" x14ac:dyDescent="0.25">
      <c r="A478" s="62">
        <v>477</v>
      </c>
      <c r="B478" s="221"/>
      <c r="C478" s="221"/>
      <c r="D478" s="223"/>
      <c r="E478" s="54" t="s">
        <v>242</v>
      </c>
      <c r="F478" s="16">
        <v>81.428571428571431</v>
      </c>
      <c r="G478" s="8">
        <v>11.428571428571429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17">
        <v>0</v>
      </c>
      <c r="T478" s="8">
        <v>5.7142857142857144</v>
      </c>
      <c r="U478" s="8">
        <v>0</v>
      </c>
      <c r="V478" s="8">
        <v>1.4285714285714286</v>
      </c>
      <c r="W478" s="8">
        <v>0</v>
      </c>
      <c r="X478" s="8">
        <v>0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  <c r="AD478" s="14">
        <f t="shared" si="35"/>
        <v>100</v>
      </c>
      <c r="AE478" s="8">
        <v>0</v>
      </c>
      <c r="AF478" s="8">
        <v>0</v>
      </c>
      <c r="AG478" s="8">
        <v>0</v>
      </c>
      <c r="AH478" s="8">
        <f>0.3/14*100</f>
        <v>2.1428571428571428</v>
      </c>
      <c r="AI478" s="39" t="s">
        <v>1531</v>
      </c>
      <c r="AJ478" s="7"/>
      <c r="AK478" s="62"/>
      <c r="AL478" s="158"/>
      <c r="AM478" s="85"/>
      <c r="AN478" s="85"/>
      <c r="AO478" s="85"/>
      <c r="AP478" s="85"/>
      <c r="AQ478" s="85"/>
      <c r="AR478" s="85"/>
      <c r="AS478" s="85"/>
      <c r="AT478" s="205"/>
      <c r="AU478" s="85"/>
      <c r="AV478" s="196"/>
      <c r="AW478" s="85">
        <v>11.464</v>
      </c>
      <c r="AX478" s="85"/>
      <c r="AY478" s="39">
        <v>0.1</v>
      </c>
      <c r="AZ478" s="7">
        <v>188.9</v>
      </c>
      <c r="BA478" s="62">
        <v>0.4</v>
      </c>
      <c r="BB478" s="7">
        <v>1</v>
      </c>
      <c r="BC478" s="7">
        <v>14.6</v>
      </c>
      <c r="BD478" s="7">
        <v>187</v>
      </c>
      <c r="BE478" s="7">
        <v>4.0999999999999996</v>
      </c>
      <c r="BF478" s="39"/>
      <c r="BG478" s="7"/>
      <c r="BH478" s="62"/>
      <c r="BI478" s="7"/>
      <c r="BJ478" s="32"/>
      <c r="BK478" s="256"/>
    </row>
    <row r="479" spans="1:63" ht="23.25" customHeight="1" thickBot="1" x14ac:dyDescent="0.25">
      <c r="A479" s="7">
        <v>478</v>
      </c>
      <c r="B479" s="221"/>
      <c r="C479" s="221"/>
      <c r="D479" s="223"/>
      <c r="E479" s="54" t="s">
        <v>243</v>
      </c>
      <c r="F479" s="16">
        <v>81.428571428571431</v>
      </c>
      <c r="G479" s="8">
        <v>11.428571428571429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17">
        <v>0</v>
      </c>
      <c r="T479" s="8">
        <v>5.7142857142857144</v>
      </c>
      <c r="U479" s="8">
        <v>0</v>
      </c>
      <c r="V479" s="8">
        <v>1.4285714285714286</v>
      </c>
      <c r="W479" s="8">
        <v>0</v>
      </c>
      <c r="X479" s="8">
        <v>0</v>
      </c>
      <c r="Y479" s="8">
        <v>0</v>
      </c>
      <c r="Z479" s="8">
        <v>0</v>
      </c>
      <c r="AA479" s="8">
        <v>0</v>
      </c>
      <c r="AB479" s="8">
        <v>0</v>
      </c>
      <c r="AC479" s="8">
        <v>0</v>
      </c>
      <c r="AD479" s="14">
        <f t="shared" si="35"/>
        <v>100</v>
      </c>
      <c r="AE479" s="8">
        <v>0</v>
      </c>
      <c r="AF479" s="8">
        <v>0</v>
      </c>
      <c r="AG479" s="8">
        <v>0</v>
      </c>
      <c r="AH479" s="8">
        <f>0.4/14*100</f>
        <v>2.8571428571428572</v>
      </c>
      <c r="AI479" s="39" t="s">
        <v>1531</v>
      </c>
      <c r="AJ479" s="7"/>
      <c r="AK479" s="62"/>
      <c r="AL479" s="158"/>
      <c r="AM479" s="85"/>
      <c r="AN479" s="85"/>
      <c r="AO479" s="85"/>
      <c r="AP479" s="85"/>
      <c r="AQ479" s="85"/>
      <c r="AR479" s="85"/>
      <c r="AS479" s="85"/>
      <c r="AT479" s="205"/>
      <c r="AU479" s="85"/>
      <c r="AV479" s="196"/>
      <c r="AW479" s="85">
        <v>11.475</v>
      </c>
      <c r="AX479" s="85"/>
      <c r="AY479" s="39">
        <v>0.1</v>
      </c>
      <c r="AZ479" s="7">
        <v>196.6</v>
      </c>
      <c r="BA479" s="62">
        <v>0.3</v>
      </c>
      <c r="BB479" s="7">
        <v>1</v>
      </c>
      <c r="BC479" s="7">
        <v>11</v>
      </c>
      <c r="BD479" s="7">
        <v>190</v>
      </c>
      <c r="BE479" s="7">
        <v>4.7</v>
      </c>
      <c r="BF479" s="39"/>
      <c r="BG479" s="7"/>
      <c r="BH479" s="62"/>
      <c r="BI479" s="7"/>
      <c r="BJ479" s="32"/>
      <c r="BK479" s="256"/>
    </row>
    <row r="480" spans="1:63" ht="23.25" customHeight="1" thickBot="1" x14ac:dyDescent="0.25">
      <c r="A480" s="62">
        <v>479</v>
      </c>
      <c r="B480" s="222"/>
      <c r="C480" s="222"/>
      <c r="D480" s="224"/>
      <c r="E480" s="54" t="s">
        <v>244</v>
      </c>
      <c r="F480" s="16">
        <v>81.428571428571431</v>
      </c>
      <c r="G480" s="8">
        <v>11.428571428571429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>
        <v>0</v>
      </c>
      <c r="S480" s="17">
        <v>0</v>
      </c>
      <c r="T480" s="8">
        <v>5.7142857142857144</v>
      </c>
      <c r="U480" s="8">
        <v>0</v>
      </c>
      <c r="V480" s="8">
        <v>1.4285714285714286</v>
      </c>
      <c r="W480" s="8">
        <v>0</v>
      </c>
      <c r="X480" s="8">
        <v>0</v>
      </c>
      <c r="Y480" s="8">
        <v>0</v>
      </c>
      <c r="Z480" s="8">
        <v>0</v>
      </c>
      <c r="AA480" s="8">
        <v>0</v>
      </c>
      <c r="AB480" s="8">
        <v>0</v>
      </c>
      <c r="AC480" s="8">
        <v>0</v>
      </c>
      <c r="AD480" s="14">
        <f t="shared" si="35"/>
        <v>100</v>
      </c>
      <c r="AE480" s="8">
        <v>0</v>
      </c>
      <c r="AF480" s="8">
        <v>0</v>
      </c>
      <c r="AG480" s="8">
        <v>0</v>
      </c>
      <c r="AH480" s="8">
        <f>0.5/14*100</f>
        <v>3.5714285714285712</v>
      </c>
      <c r="AI480" s="39" t="s">
        <v>1531</v>
      </c>
      <c r="AJ480" s="7"/>
      <c r="AK480" s="62"/>
      <c r="AL480" s="158"/>
      <c r="AM480" s="85"/>
      <c r="AN480" s="85"/>
      <c r="AO480" s="85"/>
      <c r="AP480" s="85"/>
      <c r="AQ480" s="85"/>
      <c r="AR480" s="85"/>
      <c r="AS480" s="85"/>
      <c r="AT480" s="205"/>
      <c r="AU480" s="85"/>
      <c r="AV480" s="196"/>
      <c r="AW480" s="85">
        <v>11.484999999999999</v>
      </c>
      <c r="AX480" s="85"/>
      <c r="AY480" s="39">
        <v>0.1</v>
      </c>
      <c r="AZ480" s="7">
        <v>201.6</v>
      </c>
      <c r="BA480" s="62">
        <v>0.25</v>
      </c>
      <c r="BB480" s="7">
        <v>1</v>
      </c>
      <c r="BC480" s="7">
        <v>9.4</v>
      </c>
      <c r="BD480" s="7">
        <v>197.1</v>
      </c>
      <c r="BE480" s="7">
        <v>5.6</v>
      </c>
      <c r="BF480" s="39"/>
      <c r="BG480" s="7"/>
      <c r="BH480" s="62"/>
      <c r="BI480" s="7"/>
      <c r="BJ480" s="32"/>
      <c r="BK480" s="256"/>
    </row>
    <row r="481" spans="1:63" s="43" customFormat="1" ht="23.25" customHeight="1" thickBot="1" x14ac:dyDescent="0.25">
      <c r="A481" s="7">
        <v>480</v>
      </c>
      <c r="B481" s="238">
        <v>208</v>
      </c>
      <c r="C481" s="238" t="s">
        <v>1796</v>
      </c>
      <c r="D481" s="225" t="s">
        <v>430</v>
      </c>
      <c r="E481" s="86" t="s">
        <v>334</v>
      </c>
      <c r="F481" s="87">
        <v>81.428571428571431</v>
      </c>
      <c r="G481" s="88">
        <v>11.428571428571429</v>
      </c>
      <c r="H481" s="88">
        <v>0</v>
      </c>
      <c r="I481" s="88">
        <v>0</v>
      </c>
      <c r="J481" s="88">
        <v>0</v>
      </c>
      <c r="K481" s="88">
        <v>0</v>
      </c>
      <c r="L481" s="88">
        <v>0</v>
      </c>
      <c r="M481" s="88">
        <v>0</v>
      </c>
      <c r="N481" s="88">
        <v>0</v>
      </c>
      <c r="O481" s="88">
        <v>0</v>
      </c>
      <c r="P481" s="88">
        <v>0</v>
      </c>
      <c r="Q481" s="88">
        <v>0</v>
      </c>
      <c r="R481" s="88">
        <v>0</v>
      </c>
      <c r="S481" s="89">
        <v>0</v>
      </c>
      <c r="T481" s="88">
        <v>5.7142857142857144</v>
      </c>
      <c r="U481" s="88">
        <v>0</v>
      </c>
      <c r="V481" s="88">
        <v>0</v>
      </c>
      <c r="W481" s="88">
        <v>0</v>
      </c>
      <c r="X481" s="88">
        <v>0</v>
      </c>
      <c r="Y481" s="88">
        <v>0</v>
      </c>
      <c r="Z481" s="88">
        <v>1.4285714285714286</v>
      </c>
      <c r="AA481" s="88">
        <v>0</v>
      </c>
      <c r="AB481" s="88">
        <v>0</v>
      </c>
      <c r="AC481" s="88">
        <v>0</v>
      </c>
      <c r="AD481" s="90">
        <f t="shared" si="35"/>
        <v>100</v>
      </c>
      <c r="AE481" s="88">
        <v>0</v>
      </c>
      <c r="AF481" s="88">
        <v>0</v>
      </c>
      <c r="AG481" s="88">
        <v>0</v>
      </c>
      <c r="AH481" s="88">
        <v>0</v>
      </c>
      <c r="AI481" s="156" t="s">
        <v>1531</v>
      </c>
      <c r="AJ481" s="45">
        <v>336</v>
      </c>
      <c r="AK481" s="91">
        <v>1323</v>
      </c>
      <c r="AL481" s="197"/>
      <c r="AM481" s="189"/>
      <c r="AN481" s="189"/>
      <c r="AO481" s="189"/>
      <c r="AP481" s="189"/>
      <c r="AQ481" s="189"/>
      <c r="AR481" s="189"/>
      <c r="AS481" s="189"/>
      <c r="AT481" s="198"/>
      <c r="AU481" s="189"/>
      <c r="AV481" s="199"/>
      <c r="AW481" s="189">
        <v>11.464</v>
      </c>
      <c r="AX481" s="189"/>
      <c r="AY481" s="156"/>
      <c r="AZ481" s="45">
        <v>200</v>
      </c>
      <c r="BA481" s="91"/>
      <c r="BB481" s="45">
        <v>5</v>
      </c>
      <c r="BC481" s="189">
        <v>14.8</v>
      </c>
      <c r="BD481" s="45"/>
      <c r="BE481" s="45"/>
      <c r="BF481" s="156"/>
      <c r="BG481" s="45"/>
      <c r="BH481" s="91"/>
      <c r="BI481" s="45"/>
      <c r="BJ481" s="67"/>
      <c r="BK481" s="256"/>
    </row>
    <row r="482" spans="1:63" ht="23.25" customHeight="1" thickBot="1" x14ac:dyDescent="0.25">
      <c r="A482" s="62">
        <v>481</v>
      </c>
      <c r="B482" s="221"/>
      <c r="C482" s="221"/>
      <c r="D482" s="223"/>
      <c r="E482" s="54" t="s">
        <v>335</v>
      </c>
      <c r="F482" s="16">
        <v>81.428571428571431</v>
      </c>
      <c r="G482" s="8">
        <v>11.428571428571429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17">
        <v>0</v>
      </c>
      <c r="T482" s="8">
        <v>5.7142857142857144</v>
      </c>
      <c r="U482" s="8">
        <v>0</v>
      </c>
      <c r="V482" s="8">
        <v>0</v>
      </c>
      <c r="W482" s="8">
        <v>0</v>
      </c>
      <c r="X482" s="8">
        <v>0</v>
      </c>
      <c r="Y482" s="8">
        <v>0</v>
      </c>
      <c r="Z482" s="8">
        <v>1.4285714285714286</v>
      </c>
      <c r="AA482" s="8">
        <v>0</v>
      </c>
      <c r="AB482" s="8">
        <v>0</v>
      </c>
      <c r="AC482" s="8">
        <v>0</v>
      </c>
      <c r="AD482" s="14">
        <f t="shared" si="35"/>
        <v>100</v>
      </c>
      <c r="AE482" s="8">
        <v>0</v>
      </c>
      <c r="AF482" s="8">
        <v>0</v>
      </c>
      <c r="AG482" s="8">
        <v>0</v>
      </c>
      <c r="AH482" s="8">
        <f>0.03/14*100</f>
        <v>0.2142857142857143</v>
      </c>
      <c r="AI482" s="39" t="s">
        <v>1531</v>
      </c>
      <c r="AJ482" s="7">
        <v>336</v>
      </c>
      <c r="AK482" s="62">
        <v>1323</v>
      </c>
      <c r="AL482" s="158"/>
      <c r="AM482" s="85"/>
      <c r="AN482" s="85"/>
      <c r="AO482" s="85"/>
      <c r="AP482" s="85"/>
      <c r="AQ482" s="85"/>
      <c r="AR482" s="85"/>
      <c r="AS482" s="85"/>
      <c r="AT482" s="205"/>
      <c r="AU482" s="85"/>
      <c r="AV482" s="196"/>
      <c r="AW482" s="85">
        <v>11.464</v>
      </c>
      <c r="AX482" s="85"/>
      <c r="AY482" s="39"/>
      <c r="AZ482" s="7">
        <v>204</v>
      </c>
      <c r="BA482" s="62"/>
      <c r="BB482" s="7">
        <v>5</v>
      </c>
      <c r="BC482" s="85">
        <v>16</v>
      </c>
      <c r="BD482" s="7"/>
      <c r="BE482" s="7"/>
      <c r="BF482" s="39"/>
      <c r="BG482" s="7"/>
      <c r="BH482" s="62"/>
      <c r="BI482" s="7"/>
      <c r="BJ482" s="32"/>
      <c r="BK482" s="256"/>
    </row>
    <row r="483" spans="1:63" ht="23.25" customHeight="1" thickBot="1" x14ac:dyDescent="0.25">
      <c r="A483" s="7">
        <v>482</v>
      </c>
      <c r="B483" s="221"/>
      <c r="C483" s="221"/>
      <c r="D483" s="223"/>
      <c r="E483" s="54" t="s">
        <v>307</v>
      </c>
      <c r="F483" s="16">
        <v>81.428571428571431</v>
      </c>
      <c r="G483" s="8">
        <v>11.428571428571429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17">
        <v>0</v>
      </c>
      <c r="T483" s="8">
        <v>5.7142857142857144</v>
      </c>
      <c r="U483" s="8">
        <v>0</v>
      </c>
      <c r="V483" s="8">
        <v>0</v>
      </c>
      <c r="W483" s="8">
        <v>0</v>
      </c>
      <c r="X483" s="8">
        <v>0</v>
      </c>
      <c r="Y483" s="8">
        <v>0</v>
      </c>
      <c r="Z483" s="8">
        <v>1.4285714285714286</v>
      </c>
      <c r="AA483" s="8">
        <v>0</v>
      </c>
      <c r="AB483" s="8">
        <v>0</v>
      </c>
      <c r="AC483" s="8">
        <v>0</v>
      </c>
      <c r="AD483" s="14">
        <f t="shared" si="35"/>
        <v>100</v>
      </c>
      <c r="AE483" s="8">
        <v>0</v>
      </c>
      <c r="AF483" s="8">
        <v>0</v>
      </c>
      <c r="AG483" s="8">
        <v>0</v>
      </c>
      <c r="AH483" s="8">
        <f>0.06/14*100</f>
        <v>0.4285714285714286</v>
      </c>
      <c r="AI483" s="39" t="s">
        <v>1531</v>
      </c>
      <c r="AJ483" s="7">
        <v>336</v>
      </c>
      <c r="AK483" s="62">
        <v>1323</v>
      </c>
      <c r="AL483" s="158"/>
      <c r="AM483" s="85"/>
      <c r="AN483" s="85"/>
      <c r="AO483" s="85"/>
      <c r="AP483" s="85"/>
      <c r="AQ483" s="85"/>
      <c r="AR483" s="85"/>
      <c r="AS483" s="85"/>
      <c r="AT483" s="205"/>
      <c r="AU483" s="85"/>
      <c r="AV483" s="196"/>
      <c r="AW483" s="85">
        <v>11.465</v>
      </c>
      <c r="AX483" s="85"/>
      <c r="AY483" s="39"/>
      <c r="AZ483" s="7">
        <v>205</v>
      </c>
      <c r="BA483" s="62"/>
      <c r="BB483" s="7">
        <v>5</v>
      </c>
      <c r="BC483" s="85">
        <v>15</v>
      </c>
      <c r="BD483" s="7"/>
      <c r="BE483" s="7"/>
      <c r="BF483" s="39"/>
      <c r="BG483" s="7"/>
      <c r="BH483" s="62"/>
      <c r="BI483" s="7"/>
      <c r="BJ483" s="32"/>
      <c r="BK483" s="256"/>
    </row>
    <row r="484" spans="1:63" ht="23.25" customHeight="1" thickBot="1" x14ac:dyDescent="0.25">
      <c r="A484" s="62">
        <v>483</v>
      </c>
      <c r="B484" s="221"/>
      <c r="C484" s="221"/>
      <c r="D484" s="223"/>
      <c r="E484" s="54" t="s">
        <v>338</v>
      </c>
      <c r="F484" s="16">
        <v>81.428571428571431</v>
      </c>
      <c r="G484" s="8">
        <v>11.428571428571429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17">
        <v>0</v>
      </c>
      <c r="T484" s="8">
        <v>5.7142857142857144</v>
      </c>
      <c r="U484" s="8">
        <v>0</v>
      </c>
      <c r="V484" s="8">
        <v>0</v>
      </c>
      <c r="W484" s="8">
        <v>0</v>
      </c>
      <c r="X484" s="8">
        <v>0</v>
      </c>
      <c r="Y484" s="8">
        <v>0</v>
      </c>
      <c r="Z484" s="8">
        <v>1.4285714285714286</v>
      </c>
      <c r="AA484" s="8">
        <v>0</v>
      </c>
      <c r="AB484" s="8">
        <v>0</v>
      </c>
      <c r="AC484" s="8">
        <v>0</v>
      </c>
      <c r="AD484" s="14">
        <f t="shared" si="35"/>
        <v>100</v>
      </c>
      <c r="AE484" s="8">
        <v>0</v>
      </c>
      <c r="AF484" s="8">
        <v>0</v>
      </c>
      <c r="AG484" s="8">
        <v>0</v>
      </c>
      <c r="AH484" s="8">
        <f>0.2/14*100</f>
        <v>1.4285714285714286</v>
      </c>
      <c r="AI484" s="39" t="s">
        <v>1531</v>
      </c>
      <c r="AJ484" s="7">
        <v>336</v>
      </c>
      <c r="AK484" s="62">
        <v>1323</v>
      </c>
      <c r="AL484" s="158"/>
      <c r="AM484" s="85"/>
      <c r="AN484" s="85"/>
      <c r="AO484" s="85"/>
      <c r="AP484" s="85"/>
      <c r="AQ484" s="85"/>
      <c r="AR484" s="85"/>
      <c r="AS484" s="85"/>
      <c r="AT484" s="205"/>
      <c r="AU484" s="85"/>
      <c r="AV484" s="196"/>
      <c r="AW484" s="85">
        <v>11.465</v>
      </c>
      <c r="AX484" s="85"/>
      <c r="AY484" s="39"/>
      <c r="AZ484" s="7">
        <v>215</v>
      </c>
      <c r="BA484" s="62"/>
      <c r="BB484" s="7">
        <v>5</v>
      </c>
      <c r="BC484" s="85">
        <v>7.5</v>
      </c>
      <c r="BD484" s="7"/>
      <c r="BE484" s="7"/>
      <c r="BF484" s="39"/>
      <c r="BG484" s="7"/>
      <c r="BH484" s="62"/>
      <c r="BI484" s="7"/>
      <c r="BJ484" s="32"/>
      <c r="BK484" s="256"/>
    </row>
    <row r="485" spans="1:63" ht="23.25" customHeight="1" thickBot="1" x14ac:dyDescent="0.25">
      <c r="A485" s="7">
        <v>484</v>
      </c>
      <c r="B485" s="221"/>
      <c r="C485" s="221"/>
      <c r="D485" s="223"/>
      <c r="E485" s="54" t="s">
        <v>337</v>
      </c>
      <c r="F485" s="16">
        <v>81.428571428571431</v>
      </c>
      <c r="G485" s="8">
        <v>11.428571428571429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>
        <v>0</v>
      </c>
      <c r="S485" s="17">
        <v>0</v>
      </c>
      <c r="T485" s="8">
        <v>5.7142857142857144</v>
      </c>
      <c r="U485" s="8">
        <v>0</v>
      </c>
      <c r="V485" s="8">
        <v>0</v>
      </c>
      <c r="W485" s="8">
        <v>0</v>
      </c>
      <c r="X485" s="8">
        <v>0</v>
      </c>
      <c r="Y485" s="8">
        <v>0</v>
      </c>
      <c r="Z485" s="8">
        <v>1.4285714285714286</v>
      </c>
      <c r="AA485" s="8">
        <v>0</v>
      </c>
      <c r="AB485" s="8">
        <v>0</v>
      </c>
      <c r="AC485" s="8">
        <v>0</v>
      </c>
      <c r="AD485" s="14">
        <f t="shared" si="35"/>
        <v>100</v>
      </c>
      <c r="AE485" s="8">
        <v>0</v>
      </c>
      <c r="AF485" s="8">
        <v>0</v>
      </c>
      <c r="AG485" s="8">
        <v>0</v>
      </c>
      <c r="AH485" s="8">
        <f>0.3/14*100</f>
        <v>2.1428571428571428</v>
      </c>
      <c r="AI485" s="39" t="s">
        <v>1531</v>
      </c>
      <c r="AJ485" s="7">
        <v>336</v>
      </c>
      <c r="AK485" s="62">
        <v>1323</v>
      </c>
      <c r="AL485" s="158"/>
      <c r="AM485" s="85"/>
      <c r="AN485" s="85"/>
      <c r="AO485" s="85"/>
      <c r="AP485" s="85"/>
      <c r="AQ485" s="85"/>
      <c r="AR485" s="85"/>
      <c r="AS485" s="85"/>
      <c r="AT485" s="205"/>
      <c r="AU485" s="85"/>
      <c r="AV485" s="196"/>
      <c r="AW485" s="85">
        <v>11.473000000000001</v>
      </c>
      <c r="AX485" s="85"/>
      <c r="AY485" s="39"/>
      <c r="AZ485" s="7">
        <v>222</v>
      </c>
      <c r="BA485" s="62"/>
      <c r="BB485" s="7">
        <v>5</v>
      </c>
      <c r="BC485" s="85">
        <v>6.6</v>
      </c>
      <c r="BD485" s="7"/>
      <c r="BE485" s="7"/>
      <c r="BF485" s="39"/>
      <c r="BG485" s="7"/>
      <c r="BH485" s="62"/>
      <c r="BI485" s="7"/>
      <c r="BJ485" s="32"/>
      <c r="BK485" s="256"/>
    </row>
    <row r="486" spans="1:63" ht="23.25" customHeight="1" thickBot="1" x14ac:dyDescent="0.25">
      <c r="A486" s="62">
        <v>485</v>
      </c>
      <c r="B486" s="221"/>
      <c r="C486" s="221"/>
      <c r="D486" s="54" t="s">
        <v>431</v>
      </c>
      <c r="E486" s="54"/>
      <c r="F486" s="16">
        <v>81.428571428571431</v>
      </c>
      <c r="G486" s="8">
        <v>11.428571428571429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17">
        <v>0</v>
      </c>
      <c r="T486" s="8">
        <v>5.7142857142857144</v>
      </c>
      <c r="U486" s="8">
        <v>0</v>
      </c>
      <c r="V486" s="8">
        <v>0</v>
      </c>
      <c r="W486" s="8">
        <v>0</v>
      </c>
      <c r="X486" s="8">
        <v>0</v>
      </c>
      <c r="Y486" s="8">
        <v>0</v>
      </c>
      <c r="Z486" s="8">
        <v>1.4285714285714286</v>
      </c>
      <c r="AA486" s="8">
        <v>0</v>
      </c>
      <c r="AB486" s="8">
        <v>0</v>
      </c>
      <c r="AC486" s="8">
        <v>0</v>
      </c>
      <c r="AD486" s="14">
        <f t="shared" si="35"/>
        <v>100</v>
      </c>
      <c r="AE486" s="8">
        <v>0</v>
      </c>
      <c r="AF486" s="8">
        <v>0</v>
      </c>
      <c r="AG486" s="8">
        <v>0</v>
      </c>
      <c r="AH486" s="8">
        <v>0</v>
      </c>
      <c r="AJ486" s="7"/>
      <c r="AK486" s="62"/>
      <c r="AL486" s="158"/>
      <c r="AM486" s="85"/>
      <c r="AN486" s="85"/>
      <c r="AO486" s="85"/>
      <c r="AP486" s="85"/>
      <c r="AQ486" s="85"/>
      <c r="AR486" s="85"/>
      <c r="AS486" s="85"/>
      <c r="AT486" s="205"/>
      <c r="AU486" s="85"/>
      <c r="AV486" s="196"/>
      <c r="AW486" s="85"/>
      <c r="AX486" s="85"/>
      <c r="AY486" s="39"/>
      <c r="AZ486" s="7">
        <v>215</v>
      </c>
      <c r="BA486" s="62"/>
      <c r="BB486" s="7">
        <v>5</v>
      </c>
      <c r="BC486" s="85">
        <v>7.9</v>
      </c>
      <c r="BD486" s="7"/>
      <c r="BE486" s="7"/>
      <c r="BF486" s="39"/>
      <c r="BG486" s="7"/>
      <c r="BH486" s="62"/>
      <c r="BI486" s="7"/>
      <c r="BJ486" s="32"/>
      <c r="BK486" s="256"/>
    </row>
    <row r="487" spans="1:63" ht="23.25" customHeight="1" thickBot="1" x14ac:dyDescent="0.25">
      <c r="A487" s="7">
        <v>486</v>
      </c>
      <c r="B487" s="221"/>
      <c r="C487" s="221"/>
      <c r="D487" s="54" t="s">
        <v>114</v>
      </c>
      <c r="E487" s="54"/>
      <c r="F487" s="16">
        <v>81.428571428571431</v>
      </c>
      <c r="G487" s="8">
        <v>11.428571428571429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17">
        <v>0</v>
      </c>
      <c r="T487" s="8">
        <v>6.7857142857142856</v>
      </c>
      <c r="U487" s="8">
        <v>0</v>
      </c>
      <c r="V487" s="8">
        <v>0</v>
      </c>
      <c r="W487" s="8">
        <v>0</v>
      </c>
      <c r="X487" s="8">
        <v>0</v>
      </c>
      <c r="Y487" s="8">
        <v>0</v>
      </c>
      <c r="Z487" s="8">
        <v>0.35714285714285715</v>
      </c>
      <c r="AA487" s="8">
        <v>0</v>
      </c>
      <c r="AB487" s="8">
        <v>0</v>
      </c>
      <c r="AC487" s="8">
        <v>0</v>
      </c>
      <c r="AD487" s="14">
        <f t="shared" si="35"/>
        <v>100.00000000000001</v>
      </c>
      <c r="AE487" s="8">
        <v>0</v>
      </c>
      <c r="AF487" s="8">
        <v>0</v>
      </c>
      <c r="AG487" s="8">
        <v>0</v>
      </c>
      <c r="AH487" s="8">
        <v>0</v>
      </c>
      <c r="AJ487" s="7"/>
      <c r="AK487" s="62"/>
      <c r="AL487" s="158"/>
      <c r="AM487" s="85"/>
      <c r="AN487" s="85"/>
      <c r="AO487" s="85"/>
      <c r="AP487" s="85"/>
      <c r="AQ487" s="85"/>
      <c r="AR487" s="85"/>
      <c r="AS487" s="85"/>
      <c r="AT487" s="205"/>
      <c r="AU487" s="85"/>
      <c r="AV487" s="196"/>
      <c r="AW487" s="85"/>
      <c r="AX487" s="85"/>
      <c r="AY487" s="39"/>
      <c r="AZ487" s="7">
        <v>215</v>
      </c>
      <c r="BA487" s="62"/>
      <c r="BB487" s="7">
        <v>5</v>
      </c>
      <c r="BC487" s="85">
        <v>7</v>
      </c>
      <c r="BD487" s="7"/>
      <c r="BE487" s="7"/>
      <c r="BF487" s="39"/>
      <c r="BG487" s="7"/>
      <c r="BH487" s="62"/>
      <c r="BI487" s="7"/>
      <c r="BJ487" s="32"/>
      <c r="BK487" s="256"/>
    </row>
    <row r="488" spans="1:63" s="6" customFormat="1" ht="23.25" customHeight="1" thickBot="1" x14ac:dyDescent="0.25">
      <c r="A488" s="62">
        <v>487</v>
      </c>
      <c r="B488" s="222"/>
      <c r="C488" s="222"/>
      <c r="D488" s="13" t="s">
        <v>114</v>
      </c>
      <c r="E488" s="13"/>
      <c r="F488" s="80">
        <v>81.428571428571431</v>
      </c>
      <c r="G488" s="81">
        <v>11.428571428571429</v>
      </c>
      <c r="H488" s="81">
        <v>0</v>
      </c>
      <c r="I488" s="81">
        <v>0</v>
      </c>
      <c r="J488" s="81">
        <v>0</v>
      </c>
      <c r="K488" s="81">
        <v>0</v>
      </c>
      <c r="L488" s="81">
        <v>0</v>
      </c>
      <c r="M488" s="81">
        <v>0</v>
      </c>
      <c r="N488" s="81">
        <v>0</v>
      </c>
      <c r="O488" s="81">
        <v>0</v>
      </c>
      <c r="P488" s="81">
        <v>0</v>
      </c>
      <c r="Q488" s="81">
        <v>0</v>
      </c>
      <c r="R488" s="81">
        <v>0</v>
      </c>
      <c r="S488" s="82">
        <v>0</v>
      </c>
      <c r="T488" s="81">
        <v>6.7857142857142856</v>
      </c>
      <c r="U488" s="81">
        <v>0</v>
      </c>
      <c r="V488" s="81">
        <v>0</v>
      </c>
      <c r="W488" s="81">
        <v>0</v>
      </c>
      <c r="X488" s="81">
        <v>0</v>
      </c>
      <c r="Y488" s="81">
        <v>0</v>
      </c>
      <c r="Z488" s="81">
        <v>0.35714285714285715</v>
      </c>
      <c r="AA488" s="81">
        <v>0</v>
      </c>
      <c r="AB488" s="81">
        <v>0</v>
      </c>
      <c r="AC488" s="81">
        <v>0</v>
      </c>
      <c r="AD488" s="83">
        <f t="shared" si="35"/>
        <v>100.00000000000001</v>
      </c>
      <c r="AE488" s="81">
        <v>0</v>
      </c>
      <c r="AF488" s="81">
        <v>0</v>
      </c>
      <c r="AG488" s="81">
        <v>0</v>
      </c>
      <c r="AH488" s="81">
        <v>0</v>
      </c>
      <c r="AI488" s="79"/>
      <c r="AJ488" s="65"/>
      <c r="AK488" s="78"/>
      <c r="AL488" s="200"/>
      <c r="AM488" s="190"/>
      <c r="AN488" s="190"/>
      <c r="AO488" s="190"/>
      <c r="AP488" s="190"/>
      <c r="AQ488" s="190"/>
      <c r="AR488" s="190"/>
      <c r="AS488" s="190"/>
      <c r="AT488" s="201"/>
      <c r="AU488" s="190"/>
      <c r="AV488" s="202"/>
      <c r="AW488" s="190"/>
      <c r="AX488" s="190"/>
      <c r="AY488" s="79"/>
      <c r="AZ488" s="65">
        <v>210</v>
      </c>
      <c r="BA488" s="78"/>
      <c r="BB488" s="65">
        <v>5</v>
      </c>
      <c r="BC488" s="190">
        <v>15</v>
      </c>
      <c r="BD488" s="65"/>
      <c r="BE488" s="65"/>
      <c r="BF488" s="79"/>
      <c r="BG488" s="65"/>
      <c r="BH488" s="78"/>
      <c r="BI488" s="65"/>
      <c r="BJ488" s="68"/>
      <c r="BK488" s="256"/>
    </row>
    <row r="489" spans="1:63" s="38" customFormat="1" ht="23.25" customHeight="1" thickBot="1" x14ac:dyDescent="0.25">
      <c r="A489" s="7">
        <v>488</v>
      </c>
      <c r="B489" s="238">
        <v>211</v>
      </c>
      <c r="C489" s="238" t="s">
        <v>1797</v>
      </c>
      <c r="D489" s="54" t="s">
        <v>137</v>
      </c>
      <c r="E489" s="54"/>
      <c r="F489" s="16">
        <v>76.802142857142854</v>
      </c>
      <c r="G489" s="8">
        <v>0</v>
      </c>
      <c r="H489" s="8">
        <v>9.2857142857142865</v>
      </c>
      <c r="I489" s="8">
        <v>0</v>
      </c>
      <c r="J489" s="8">
        <v>6.7692857142857141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17">
        <v>0</v>
      </c>
      <c r="T489" s="8">
        <v>7.1428571428571423</v>
      </c>
      <c r="U489" s="8">
        <v>0</v>
      </c>
      <c r="V489" s="8">
        <v>0</v>
      </c>
      <c r="W489" s="8">
        <v>0</v>
      </c>
      <c r="X489" s="8">
        <v>0</v>
      </c>
      <c r="Y489" s="8">
        <v>0</v>
      </c>
      <c r="Z489" s="8">
        <v>0</v>
      </c>
      <c r="AA489" s="8">
        <v>0</v>
      </c>
      <c r="AB489" s="8">
        <v>0</v>
      </c>
      <c r="AC489" s="8">
        <v>0</v>
      </c>
      <c r="AD489" s="14">
        <f t="shared" si="35"/>
        <v>100</v>
      </c>
      <c r="AE489" s="8">
        <v>0</v>
      </c>
      <c r="AF489" s="8">
        <v>0</v>
      </c>
      <c r="AG489" s="8">
        <v>0</v>
      </c>
      <c r="AH489" s="8">
        <v>0</v>
      </c>
      <c r="AI489" s="39" t="s">
        <v>1531</v>
      </c>
      <c r="AJ489" s="7">
        <v>360</v>
      </c>
      <c r="AK489" s="62">
        <v>1233</v>
      </c>
      <c r="AL489" s="158"/>
      <c r="AM489" s="85"/>
      <c r="AN489" s="85"/>
      <c r="AO489" s="85"/>
      <c r="AP489" s="85"/>
      <c r="AQ489" s="85"/>
      <c r="AR489" s="85"/>
      <c r="AS489" s="85"/>
      <c r="AT489" s="205"/>
      <c r="AU489" s="85"/>
      <c r="AV489" s="196"/>
      <c r="AW489" s="85"/>
      <c r="AX489" s="85">
        <v>11.64</v>
      </c>
      <c r="AY489" s="39">
        <v>0.05</v>
      </c>
      <c r="AZ489" s="7">
        <v>311.39999999999998</v>
      </c>
      <c r="BA489" s="62"/>
      <c r="BB489" s="7" t="s">
        <v>524</v>
      </c>
      <c r="BC489" s="7" t="s">
        <v>870</v>
      </c>
      <c r="BD489" s="7" t="s">
        <v>871</v>
      </c>
      <c r="BE489" s="7" t="s">
        <v>872</v>
      </c>
      <c r="BF489" s="39"/>
      <c r="BG489" s="7"/>
      <c r="BH489" s="62"/>
      <c r="BI489" s="7"/>
      <c r="BJ489" s="32"/>
      <c r="BK489" s="256" t="s">
        <v>8</v>
      </c>
    </row>
    <row r="490" spans="1:63" ht="23.25" customHeight="1" thickBot="1" x14ac:dyDescent="0.25">
      <c r="A490" s="62">
        <v>489</v>
      </c>
      <c r="B490" s="221"/>
      <c r="C490" s="221"/>
      <c r="D490" s="54" t="s">
        <v>138</v>
      </c>
      <c r="E490" s="54"/>
      <c r="F490" s="16">
        <v>76.802142857142854</v>
      </c>
      <c r="G490" s="8">
        <v>0</v>
      </c>
      <c r="H490" s="8">
        <v>9.2857142857142865</v>
      </c>
      <c r="I490" s="8">
        <v>0</v>
      </c>
      <c r="J490" s="8">
        <v>6.7692857142857141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17">
        <v>0</v>
      </c>
      <c r="T490" s="8">
        <v>5.7142857142857144</v>
      </c>
      <c r="U490" s="8">
        <v>0</v>
      </c>
      <c r="V490" s="8">
        <v>0</v>
      </c>
      <c r="W490" s="8">
        <v>1.4285714285714286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  <c r="AD490" s="14">
        <f t="shared" si="35"/>
        <v>100</v>
      </c>
      <c r="AE490" s="8">
        <v>0</v>
      </c>
      <c r="AF490" s="8">
        <v>0</v>
      </c>
      <c r="AG490" s="8">
        <v>0</v>
      </c>
      <c r="AH490" s="8">
        <v>0</v>
      </c>
      <c r="AI490" s="39" t="s">
        <v>1531</v>
      </c>
      <c r="AJ490" s="7">
        <v>360</v>
      </c>
      <c r="AK490" s="62">
        <v>1233</v>
      </c>
      <c r="AL490" s="158"/>
      <c r="AM490" s="85"/>
      <c r="AN490" s="85"/>
      <c r="AO490" s="85"/>
      <c r="AP490" s="85"/>
      <c r="AQ490" s="85"/>
      <c r="AR490" s="85"/>
      <c r="AS490" s="85"/>
      <c r="AT490" s="205"/>
      <c r="AU490" s="85"/>
      <c r="AV490" s="196"/>
      <c r="AW490" s="85"/>
      <c r="AX490" s="85">
        <v>11.629</v>
      </c>
      <c r="AY490" s="39">
        <v>0.05</v>
      </c>
      <c r="AZ490" s="7">
        <v>300</v>
      </c>
      <c r="BA490" s="62"/>
      <c r="BB490" s="7"/>
      <c r="BC490" s="7"/>
      <c r="BD490" s="7"/>
      <c r="BE490" s="7"/>
      <c r="BF490" s="39"/>
      <c r="BG490" s="7"/>
      <c r="BH490" s="62"/>
      <c r="BI490" s="7"/>
      <c r="BJ490" s="32"/>
      <c r="BK490" s="256"/>
    </row>
    <row r="491" spans="1:63" ht="23.25" customHeight="1" thickBot="1" x14ac:dyDescent="0.25">
      <c r="A491" s="7">
        <v>490</v>
      </c>
      <c r="B491" s="222"/>
      <c r="C491" s="222"/>
      <c r="D491" s="54" t="s">
        <v>139</v>
      </c>
      <c r="E491" s="54"/>
      <c r="F491" s="16">
        <v>76.802142857142854</v>
      </c>
      <c r="G491" s="8">
        <v>0</v>
      </c>
      <c r="H491" s="8">
        <v>9.2857142857142865</v>
      </c>
      <c r="I491" s="8">
        <v>0</v>
      </c>
      <c r="J491" s="8">
        <v>6.7692857142857141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>
        <v>0</v>
      </c>
      <c r="S491" s="17">
        <v>0</v>
      </c>
      <c r="T491" s="8">
        <v>5.7142857142857144</v>
      </c>
      <c r="U491" s="8">
        <v>1.4285714285714286</v>
      </c>
      <c r="V491" s="8">
        <v>0</v>
      </c>
      <c r="W491" s="8">
        <v>0</v>
      </c>
      <c r="X491" s="8">
        <v>0</v>
      </c>
      <c r="Y491" s="8">
        <v>0</v>
      </c>
      <c r="Z491" s="8">
        <v>0</v>
      </c>
      <c r="AA491" s="8">
        <v>0</v>
      </c>
      <c r="AB491" s="8">
        <v>0</v>
      </c>
      <c r="AC491" s="8">
        <v>0</v>
      </c>
      <c r="AD491" s="14">
        <f t="shared" si="35"/>
        <v>100</v>
      </c>
      <c r="AE491" s="8">
        <v>0</v>
      </c>
      <c r="AF491" s="8">
        <v>0</v>
      </c>
      <c r="AG491" s="8">
        <v>0</v>
      </c>
      <c r="AH491" s="8">
        <v>0</v>
      </c>
      <c r="AI491" s="39" t="s">
        <v>1531</v>
      </c>
      <c r="AJ491" s="7">
        <v>360</v>
      </c>
      <c r="AK491" s="62">
        <v>1233</v>
      </c>
      <c r="AL491" s="158"/>
      <c r="AM491" s="85"/>
      <c r="AN491" s="85"/>
      <c r="AO491" s="85"/>
      <c r="AP491" s="85"/>
      <c r="AQ491" s="85"/>
      <c r="AR491" s="85"/>
      <c r="AS491" s="85"/>
      <c r="AT491" s="205"/>
      <c r="AU491" s="85"/>
      <c r="AV491" s="196"/>
      <c r="AW491" s="85">
        <v>11.625999999999999</v>
      </c>
      <c r="AX491" s="85"/>
      <c r="AY491" s="39">
        <v>0.05</v>
      </c>
      <c r="AZ491" s="7">
        <v>294</v>
      </c>
      <c r="BA491" s="62"/>
      <c r="BB491" s="7" t="s">
        <v>524</v>
      </c>
      <c r="BC491" s="7" t="s">
        <v>875</v>
      </c>
      <c r="BD491" s="7" t="s">
        <v>873</v>
      </c>
      <c r="BE491" s="7" t="s">
        <v>874</v>
      </c>
      <c r="BF491" s="39"/>
      <c r="BG491" s="7"/>
      <c r="BH491" s="62"/>
      <c r="BI491" s="7"/>
      <c r="BJ491" s="32"/>
      <c r="BK491" s="256"/>
    </row>
    <row r="492" spans="1:63" s="4" customFormat="1" ht="23.25" customHeight="1" thickBot="1" x14ac:dyDescent="0.25">
      <c r="A492" s="62">
        <v>491</v>
      </c>
      <c r="B492" s="238">
        <v>212</v>
      </c>
      <c r="C492" s="238" t="s">
        <v>1798</v>
      </c>
      <c r="D492" s="12" t="s">
        <v>433</v>
      </c>
      <c r="E492" s="12"/>
      <c r="F492" s="87">
        <v>78.571428571428569</v>
      </c>
      <c r="G492" s="88">
        <v>9.2857142857142865</v>
      </c>
      <c r="H492" s="88">
        <v>0</v>
      </c>
      <c r="I492" s="88">
        <v>0</v>
      </c>
      <c r="J492" s="88">
        <v>5</v>
      </c>
      <c r="K492" s="88">
        <v>0</v>
      </c>
      <c r="L492" s="88">
        <v>0</v>
      </c>
      <c r="M492" s="88">
        <v>0</v>
      </c>
      <c r="N492" s="88">
        <v>0</v>
      </c>
      <c r="O492" s="88">
        <v>0</v>
      </c>
      <c r="P492" s="88">
        <v>0</v>
      </c>
      <c r="Q492" s="88">
        <v>0</v>
      </c>
      <c r="R492" s="88">
        <v>0</v>
      </c>
      <c r="S492" s="89">
        <v>0</v>
      </c>
      <c r="T492" s="88">
        <v>7.1428571428571423</v>
      </c>
      <c r="U492" s="88">
        <v>0</v>
      </c>
      <c r="V492" s="88">
        <v>0</v>
      </c>
      <c r="W492" s="88">
        <v>0</v>
      </c>
      <c r="X492" s="88">
        <v>0</v>
      </c>
      <c r="Y492" s="88">
        <v>0</v>
      </c>
      <c r="Z492" s="88">
        <v>0</v>
      </c>
      <c r="AA492" s="88">
        <v>0</v>
      </c>
      <c r="AB492" s="88">
        <v>0</v>
      </c>
      <c r="AC492" s="88">
        <v>0</v>
      </c>
      <c r="AD492" s="90">
        <f t="shared" si="35"/>
        <v>100</v>
      </c>
      <c r="AE492" s="88">
        <v>0</v>
      </c>
      <c r="AF492" s="88">
        <v>0</v>
      </c>
      <c r="AG492" s="88">
        <v>0</v>
      </c>
      <c r="AH492" s="88">
        <v>0</v>
      </c>
      <c r="AI492" s="156" t="s">
        <v>1531</v>
      </c>
      <c r="AJ492" s="45">
        <v>360</v>
      </c>
      <c r="AK492" s="91">
        <v>1323</v>
      </c>
      <c r="AL492" s="197">
        <v>96</v>
      </c>
      <c r="AM492" s="189">
        <v>4</v>
      </c>
      <c r="AN492" s="189"/>
      <c r="AO492" s="189"/>
      <c r="AP492" s="189"/>
      <c r="AQ492" s="189"/>
      <c r="AR492" s="189"/>
      <c r="AS492" s="189"/>
      <c r="AT492" s="198"/>
      <c r="AU492" s="189">
        <v>1</v>
      </c>
      <c r="AV492" s="199">
        <f>SUM(AL492:AT492)</f>
        <v>100</v>
      </c>
      <c r="AW492" s="189">
        <v>11.486000000000001</v>
      </c>
      <c r="AX492" s="189"/>
      <c r="AY492" s="156"/>
      <c r="AZ492" s="45">
        <v>267</v>
      </c>
      <c r="BA492" s="91"/>
      <c r="BB492" s="45" t="s">
        <v>590</v>
      </c>
      <c r="BC492" s="45" t="s">
        <v>876</v>
      </c>
      <c r="BD492" s="45" t="s">
        <v>879</v>
      </c>
      <c r="BE492" s="45" t="s">
        <v>882</v>
      </c>
      <c r="BF492" s="156"/>
      <c r="BG492" s="45"/>
      <c r="BH492" s="91"/>
      <c r="BI492" s="45"/>
      <c r="BJ492" s="67"/>
      <c r="BK492" s="256"/>
    </row>
    <row r="493" spans="1:63" ht="23.25" customHeight="1" thickBot="1" x14ac:dyDescent="0.25">
      <c r="A493" s="7">
        <v>492</v>
      </c>
      <c r="B493" s="221"/>
      <c r="C493" s="221"/>
      <c r="D493" s="54" t="s">
        <v>434</v>
      </c>
      <c r="E493" s="54"/>
      <c r="F493" s="16">
        <v>78.571428571428569</v>
      </c>
      <c r="G493" s="8">
        <v>9.2857142857142865</v>
      </c>
      <c r="H493" s="8">
        <v>0</v>
      </c>
      <c r="I493" s="8">
        <v>0</v>
      </c>
      <c r="J493" s="8">
        <v>5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17">
        <v>0</v>
      </c>
      <c r="T493" s="8">
        <v>6.4285714285714297</v>
      </c>
      <c r="U493" s="8">
        <v>0</v>
      </c>
      <c r="V493" s="8">
        <v>0</v>
      </c>
      <c r="W493" s="8">
        <v>0</v>
      </c>
      <c r="X493" s="8">
        <v>0.7142857142857143</v>
      </c>
      <c r="Y493" s="8">
        <v>0</v>
      </c>
      <c r="Z493" s="8">
        <v>0</v>
      </c>
      <c r="AA493" s="8">
        <v>0</v>
      </c>
      <c r="AB493" s="8">
        <v>0</v>
      </c>
      <c r="AC493" s="8">
        <v>0</v>
      </c>
      <c r="AD493" s="14">
        <f t="shared" si="35"/>
        <v>100</v>
      </c>
      <c r="AE493" s="8">
        <v>0</v>
      </c>
      <c r="AF493" s="8">
        <v>0</v>
      </c>
      <c r="AG493" s="8">
        <v>0</v>
      </c>
      <c r="AH493" s="8">
        <v>0</v>
      </c>
      <c r="AI493" s="39" t="s">
        <v>1531</v>
      </c>
      <c r="AJ493" s="7">
        <v>360</v>
      </c>
      <c r="AK493" s="62">
        <v>1323</v>
      </c>
      <c r="AL493" s="158">
        <v>94</v>
      </c>
      <c r="AM493" s="85">
        <v>6</v>
      </c>
      <c r="AN493" s="85"/>
      <c r="AO493" s="85"/>
      <c r="AP493" s="85"/>
      <c r="AQ493" s="85"/>
      <c r="AR493" s="85"/>
      <c r="AS493" s="85"/>
      <c r="AT493" s="205"/>
      <c r="AU493" s="85">
        <v>1</v>
      </c>
      <c r="AV493" s="196">
        <f>SUM(AL493:AT493)</f>
        <v>100</v>
      </c>
      <c r="AW493" s="85">
        <v>11.483000000000001</v>
      </c>
      <c r="AX493" s="85"/>
      <c r="AY493" s="39"/>
      <c r="AZ493" s="7">
        <v>265.5</v>
      </c>
      <c r="BA493" s="62"/>
      <c r="BB493" s="7" t="s">
        <v>590</v>
      </c>
      <c r="BC493" s="7" t="s">
        <v>877</v>
      </c>
      <c r="BD493" s="7" t="s">
        <v>880</v>
      </c>
      <c r="BE493" s="7" t="s">
        <v>883</v>
      </c>
      <c r="BF493" s="39"/>
      <c r="BG493" s="7"/>
      <c r="BH493" s="62"/>
      <c r="BI493" s="7"/>
      <c r="BJ493" s="32"/>
      <c r="BK493" s="256"/>
    </row>
    <row r="494" spans="1:63" s="6" customFormat="1" ht="23.25" customHeight="1" thickBot="1" x14ac:dyDescent="0.25">
      <c r="A494" s="62">
        <v>493</v>
      </c>
      <c r="B494" s="222"/>
      <c r="C494" s="222"/>
      <c r="D494" s="13" t="s">
        <v>435</v>
      </c>
      <c r="E494" s="13"/>
      <c r="F494" s="80">
        <v>78.571428571428569</v>
      </c>
      <c r="G494" s="81">
        <v>9.2857142857142865</v>
      </c>
      <c r="H494" s="81">
        <v>0</v>
      </c>
      <c r="I494" s="81">
        <v>0</v>
      </c>
      <c r="J494" s="81">
        <v>5</v>
      </c>
      <c r="K494" s="81">
        <v>0</v>
      </c>
      <c r="L494" s="81">
        <v>0</v>
      </c>
      <c r="M494" s="81">
        <v>0</v>
      </c>
      <c r="N494" s="81">
        <v>0</v>
      </c>
      <c r="O494" s="81">
        <v>0</v>
      </c>
      <c r="P494" s="81">
        <v>0</v>
      </c>
      <c r="Q494" s="81">
        <v>0</v>
      </c>
      <c r="R494" s="81">
        <v>0</v>
      </c>
      <c r="S494" s="82">
        <v>0</v>
      </c>
      <c r="T494" s="81">
        <v>5.7142857142857144</v>
      </c>
      <c r="U494" s="81">
        <v>0</v>
      </c>
      <c r="V494" s="81">
        <v>0</v>
      </c>
      <c r="W494" s="81">
        <v>0</v>
      </c>
      <c r="X494" s="81">
        <v>1.4285714285714286</v>
      </c>
      <c r="Y494" s="81">
        <v>0</v>
      </c>
      <c r="Z494" s="81">
        <v>0</v>
      </c>
      <c r="AA494" s="81">
        <v>0</v>
      </c>
      <c r="AB494" s="81">
        <v>0</v>
      </c>
      <c r="AC494" s="81">
        <v>0</v>
      </c>
      <c r="AD494" s="83">
        <f t="shared" si="35"/>
        <v>100</v>
      </c>
      <c r="AE494" s="81">
        <v>0</v>
      </c>
      <c r="AF494" s="81">
        <v>0</v>
      </c>
      <c r="AG494" s="81">
        <v>0</v>
      </c>
      <c r="AH494" s="81">
        <v>0</v>
      </c>
      <c r="AI494" s="79" t="s">
        <v>1531</v>
      </c>
      <c r="AJ494" s="65">
        <v>360</v>
      </c>
      <c r="AK494" s="78">
        <v>1323</v>
      </c>
      <c r="AL494" s="200">
        <v>90</v>
      </c>
      <c r="AM494" s="190">
        <v>10</v>
      </c>
      <c r="AN494" s="190"/>
      <c r="AO494" s="190"/>
      <c r="AP494" s="190"/>
      <c r="AQ494" s="190"/>
      <c r="AR494" s="190"/>
      <c r="AS494" s="190"/>
      <c r="AT494" s="201"/>
      <c r="AU494" s="190">
        <v>1</v>
      </c>
      <c r="AV494" s="202">
        <f>SUM(AL494:AT494)</f>
        <v>100</v>
      </c>
      <c r="AW494" s="190">
        <v>11.481</v>
      </c>
      <c r="AX494" s="190"/>
      <c r="AY494" s="79"/>
      <c r="AZ494" s="65">
        <v>269</v>
      </c>
      <c r="BA494" s="78"/>
      <c r="BB494" s="65" t="s">
        <v>590</v>
      </c>
      <c r="BC494" s="65" t="s">
        <v>878</v>
      </c>
      <c r="BD494" s="65" t="s">
        <v>881</v>
      </c>
      <c r="BE494" s="65" t="s">
        <v>884</v>
      </c>
      <c r="BF494" s="79"/>
      <c r="BG494" s="65"/>
      <c r="BH494" s="78"/>
      <c r="BI494" s="65"/>
      <c r="BJ494" s="68"/>
      <c r="BK494" s="256"/>
    </row>
    <row r="495" spans="1:63" ht="23.25" customHeight="1" thickBot="1" x14ac:dyDescent="0.25">
      <c r="A495" s="7">
        <v>494</v>
      </c>
      <c r="B495" s="238">
        <v>77</v>
      </c>
      <c r="C495" s="238" t="s">
        <v>1799</v>
      </c>
      <c r="D495" s="225" t="s">
        <v>447</v>
      </c>
      <c r="E495" s="54" t="s">
        <v>241</v>
      </c>
      <c r="F495" s="16">
        <v>81.714285714285708</v>
      </c>
      <c r="G495" s="8">
        <v>11.142857142857142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17">
        <v>0</v>
      </c>
      <c r="T495" s="8">
        <v>7.1428571428571423</v>
      </c>
      <c r="U495" s="8">
        <v>0</v>
      </c>
      <c r="V495" s="8">
        <v>0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14">
        <f t="shared" si="35"/>
        <v>99.999999999999986</v>
      </c>
      <c r="AE495" s="8">
        <v>0</v>
      </c>
      <c r="AF495" s="8">
        <v>0</v>
      </c>
      <c r="AG495" s="8">
        <v>0</v>
      </c>
      <c r="AH495" s="8">
        <v>0</v>
      </c>
      <c r="AI495" s="39" t="s">
        <v>1531</v>
      </c>
      <c r="AJ495" s="7">
        <v>360</v>
      </c>
      <c r="AK495" s="62">
        <v>1323</v>
      </c>
      <c r="AL495" s="158"/>
      <c r="AM495" s="85"/>
      <c r="AN495" s="85"/>
      <c r="AO495" s="85"/>
      <c r="AP495" s="85"/>
      <c r="AQ495" s="85"/>
      <c r="AR495" s="85"/>
      <c r="AS495" s="85"/>
      <c r="AT495" s="205"/>
      <c r="AU495" s="85"/>
      <c r="AV495" s="196"/>
      <c r="AW495" s="85">
        <v>11.468999999999999</v>
      </c>
      <c r="AX495" s="85"/>
      <c r="AY495" s="39">
        <v>0.1</v>
      </c>
      <c r="AZ495" s="7">
        <v>200</v>
      </c>
      <c r="BA495" s="62"/>
      <c r="BB495" s="7">
        <v>5</v>
      </c>
      <c r="BC495" s="7">
        <v>20.6</v>
      </c>
      <c r="BD495" s="7">
        <v>206</v>
      </c>
      <c r="BE495" s="7">
        <v>21.9</v>
      </c>
      <c r="BF495" s="39"/>
      <c r="BG495" s="7"/>
      <c r="BH495" s="62"/>
      <c r="BI495" s="7"/>
      <c r="BJ495" s="32"/>
      <c r="BK495" s="256"/>
    </row>
    <row r="496" spans="1:63" ht="23.25" customHeight="1" thickBot="1" x14ac:dyDescent="0.25">
      <c r="A496" s="62">
        <v>495</v>
      </c>
      <c r="B496" s="221"/>
      <c r="C496" s="221"/>
      <c r="D496" s="223"/>
      <c r="E496" s="54" t="s">
        <v>248</v>
      </c>
      <c r="F496" s="16">
        <v>81.714285714285708</v>
      </c>
      <c r="G496" s="8">
        <v>11.142857142857142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17">
        <v>0</v>
      </c>
      <c r="T496" s="8">
        <v>6.4285714285714297</v>
      </c>
      <c r="U496" s="8">
        <v>0</v>
      </c>
      <c r="V496" s="8">
        <v>0</v>
      </c>
      <c r="W496" s="8">
        <v>0</v>
      </c>
      <c r="X496" s="8">
        <v>0</v>
      </c>
      <c r="Y496" s="8">
        <v>0</v>
      </c>
      <c r="Z496" s="8">
        <v>0</v>
      </c>
      <c r="AA496" s="8">
        <v>0</v>
      </c>
      <c r="AB496" s="8">
        <v>0</v>
      </c>
      <c r="AC496" s="8">
        <v>0.7142857142857143</v>
      </c>
      <c r="AD496" s="14">
        <f t="shared" si="35"/>
        <v>99.999999999999986</v>
      </c>
      <c r="AE496" s="8">
        <v>0</v>
      </c>
      <c r="AF496" s="8">
        <v>0</v>
      </c>
      <c r="AG496" s="8">
        <v>0</v>
      </c>
      <c r="AH496" s="8">
        <v>0</v>
      </c>
      <c r="AI496" s="39" t="s">
        <v>1531</v>
      </c>
      <c r="AJ496" s="7">
        <v>360</v>
      </c>
      <c r="AK496" s="62">
        <v>1323</v>
      </c>
      <c r="AL496" s="158"/>
      <c r="AM496" s="85"/>
      <c r="AN496" s="85"/>
      <c r="AO496" s="85"/>
      <c r="AP496" s="85"/>
      <c r="AQ496" s="85"/>
      <c r="AR496" s="85"/>
      <c r="AS496" s="85"/>
      <c r="AT496" s="205"/>
      <c r="AU496" s="85"/>
      <c r="AV496" s="196"/>
      <c r="AW496" s="85">
        <v>11.468999999999999</v>
      </c>
      <c r="AX496" s="85"/>
      <c r="AY496" s="39">
        <v>0.1</v>
      </c>
      <c r="AZ496" s="7">
        <v>205</v>
      </c>
      <c r="BA496" s="62"/>
      <c r="BB496" s="7" t="s">
        <v>519</v>
      </c>
      <c r="BC496" s="7" t="s">
        <v>885</v>
      </c>
      <c r="BD496" s="7" t="s">
        <v>1868</v>
      </c>
      <c r="BE496" s="7" t="s">
        <v>886</v>
      </c>
      <c r="BF496" s="39"/>
      <c r="BG496" s="7"/>
      <c r="BH496" s="62"/>
      <c r="BI496" s="7"/>
      <c r="BJ496" s="32"/>
      <c r="BK496" s="256"/>
    </row>
    <row r="497" spans="1:63" ht="23.25" customHeight="1" thickBot="1" x14ac:dyDescent="0.25">
      <c r="A497" s="7">
        <v>496</v>
      </c>
      <c r="B497" s="222"/>
      <c r="C497" s="222"/>
      <c r="D497" s="224"/>
      <c r="E497" s="54" t="s">
        <v>242</v>
      </c>
      <c r="F497" s="16">
        <v>81.714285714285708</v>
      </c>
      <c r="G497" s="8">
        <v>11.142857142857142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17">
        <v>0</v>
      </c>
      <c r="T497" s="8">
        <v>5</v>
      </c>
      <c r="U497" s="8">
        <v>0</v>
      </c>
      <c r="V497" s="8">
        <v>0</v>
      </c>
      <c r="W497" s="8">
        <v>0</v>
      </c>
      <c r="X497" s="8">
        <v>0</v>
      </c>
      <c r="Y497" s="8">
        <v>0</v>
      </c>
      <c r="Z497" s="8">
        <v>0</v>
      </c>
      <c r="AA497" s="8">
        <v>0</v>
      </c>
      <c r="AB497" s="8">
        <v>0</v>
      </c>
      <c r="AC497" s="8">
        <v>2.1428571428571428</v>
      </c>
      <c r="AD497" s="14">
        <f t="shared" si="35"/>
        <v>99.999999999999986</v>
      </c>
      <c r="AE497" s="8">
        <v>0</v>
      </c>
      <c r="AF497" s="8">
        <v>0</v>
      </c>
      <c r="AG497" s="8">
        <v>0</v>
      </c>
      <c r="AH497" s="8">
        <v>0</v>
      </c>
      <c r="AI497" s="39" t="s">
        <v>1531</v>
      </c>
      <c r="AJ497" s="7">
        <v>360</v>
      </c>
      <c r="AK497" s="62">
        <v>1323</v>
      </c>
      <c r="AL497" s="158"/>
      <c r="AM497" s="85"/>
      <c r="AN497" s="85"/>
      <c r="AO497" s="85"/>
      <c r="AP497" s="85"/>
      <c r="AQ497" s="85"/>
      <c r="AR497" s="85"/>
      <c r="AS497" s="85"/>
      <c r="AT497" s="205"/>
      <c r="AU497" s="85"/>
      <c r="AV497" s="196"/>
      <c r="AW497" s="85">
        <v>11.459</v>
      </c>
      <c r="AX497" s="85"/>
      <c r="AY497" s="39">
        <v>0.1</v>
      </c>
      <c r="AZ497" s="7">
        <v>214</v>
      </c>
      <c r="BA497" s="62"/>
      <c r="BB497" s="7">
        <v>5</v>
      </c>
      <c r="BC497" s="7">
        <v>9.3000000000000007</v>
      </c>
      <c r="BD497" s="7">
        <v>214.8</v>
      </c>
      <c r="BE497" s="7">
        <v>29.1</v>
      </c>
      <c r="BF497" s="39"/>
      <c r="BG497" s="7"/>
      <c r="BH497" s="62"/>
      <c r="BI497" s="7"/>
      <c r="BJ497" s="32"/>
      <c r="BK497" s="256"/>
    </row>
    <row r="498" spans="1:63" s="4" customFormat="1" ht="23.25" customHeight="1" thickBot="1" x14ac:dyDescent="0.25">
      <c r="A498" s="62">
        <v>497</v>
      </c>
      <c r="B498" s="238" t="s">
        <v>512</v>
      </c>
      <c r="C498" s="238" t="s">
        <v>1866</v>
      </c>
      <c r="D498" s="225" t="s">
        <v>140</v>
      </c>
      <c r="E498" s="12" t="s">
        <v>436</v>
      </c>
      <c r="F498" s="87">
        <v>82.142857142857139</v>
      </c>
      <c r="G498" s="88">
        <v>10.714285714285714</v>
      </c>
      <c r="H498" s="88">
        <v>0</v>
      </c>
      <c r="I498" s="88">
        <v>0</v>
      </c>
      <c r="J498" s="88">
        <v>0</v>
      </c>
      <c r="K498" s="88">
        <v>0</v>
      </c>
      <c r="L498" s="88">
        <v>0</v>
      </c>
      <c r="M498" s="88">
        <v>0</v>
      </c>
      <c r="N498" s="88">
        <v>0</v>
      </c>
      <c r="O498" s="88">
        <v>0</v>
      </c>
      <c r="P498" s="88">
        <v>0</v>
      </c>
      <c r="Q498" s="88">
        <v>0</v>
      </c>
      <c r="R498" s="88">
        <v>0</v>
      </c>
      <c r="S498" s="89">
        <v>0</v>
      </c>
      <c r="T498" s="88">
        <v>7.1428571428571423</v>
      </c>
      <c r="U498" s="88">
        <v>0</v>
      </c>
      <c r="V498" s="88">
        <v>0</v>
      </c>
      <c r="W498" s="88">
        <v>0</v>
      </c>
      <c r="X498" s="88">
        <v>0</v>
      </c>
      <c r="Y498" s="88">
        <v>0</v>
      </c>
      <c r="Z498" s="88">
        <v>0</v>
      </c>
      <c r="AA498" s="88">
        <v>0</v>
      </c>
      <c r="AB498" s="88">
        <v>0</v>
      </c>
      <c r="AC498" s="88">
        <v>0</v>
      </c>
      <c r="AD498" s="90">
        <f t="shared" si="35"/>
        <v>99.999999999999986</v>
      </c>
      <c r="AE498" s="88">
        <v>0</v>
      </c>
      <c r="AF498" s="88">
        <v>0</v>
      </c>
      <c r="AG498" s="88">
        <v>0</v>
      </c>
      <c r="AH498" s="88">
        <v>0</v>
      </c>
      <c r="AI498" s="156" t="s">
        <v>1531</v>
      </c>
      <c r="AJ498" s="45"/>
      <c r="AK498" s="91"/>
      <c r="AL498" s="197"/>
      <c r="AM498" s="189"/>
      <c r="AN498" s="189"/>
      <c r="AO498" s="189"/>
      <c r="AP498" s="189"/>
      <c r="AQ498" s="189"/>
      <c r="AR498" s="189"/>
      <c r="AS498" s="189"/>
      <c r="AT498" s="198"/>
      <c r="AU498" s="189"/>
      <c r="AV498" s="199"/>
      <c r="AW498" s="189">
        <v>11.468</v>
      </c>
      <c r="AX498" s="189"/>
      <c r="AY498" s="156">
        <v>0.01</v>
      </c>
      <c r="AZ498" s="45">
        <v>194.1</v>
      </c>
      <c r="BA498" s="91"/>
      <c r="BB498" s="45"/>
      <c r="BC498" s="45"/>
      <c r="BD498" s="45"/>
      <c r="BE498" s="45"/>
      <c r="BF498" s="156"/>
      <c r="BG498" s="45"/>
      <c r="BH498" s="91"/>
      <c r="BI498" s="45"/>
      <c r="BJ498" s="67"/>
      <c r="BK498" s="256"/>
    </row>
    <row r="499" spans="1:63" ht="23.25" customHeight="1" thickBot="1" x14ac:dyDescent="0.25">
      <c r="A499" s="7">
        <v>498</v>
      </c>
      <c r="B499" s="221"/>
      <c r="C499" s="221"/>
      <c r="D499" s="223"/>
      <c r="E499" s="54" t="s">
        <v>437</v>
      </c>
      <c r="F499" s="16">
        <v>82.142857142857139</v>
      </c>
      <c r="G499" s="8">
        <v>10.714285714285714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>
        <v>0</v>
      </c>
      <c r="S499" s="17">
        <v>0</v>
      </c>
      <c r="T499" s="8">
        <v>5</v>
      </c>
      <c r="U499" s="8">
        <v>0</v>
      </c>
      <c r="V499" s="8">
        <v>2.1428571428571428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  <c r="AB499" s="8">
        <v>0</v>
      </c>
      <c r="AC499" s="8">
        <v>0</v>
      </c>
      <c r="AD499" s="14">
        <f t="shared" si="35"/>
        <v>99.999999999999986</v>
      </c>
      <c r="AE499" s="8">
        <v>0</v>
      </c>
      <c r="AF499" s="8">
        <v>0</v>
      </c>
      <c r="AG499" s="8">
        <v>0</v>
      </c>
      <c r="AH499" s="8">
        <v>0</v>
      </c>
      <c r="AI499" s="39" t="s">
        <v>1531</v>
      </c>
      <c r="AJ499" s="7"/>
      <c r="AK499" s="62"/>
      <c r="AL499" s="158"/>
      <c r="AM499" s="85"/>
      <c r="AN499" s="85"/>
      <c r="AO499" s="85"/>
      <c r="AP499" s="85"/>
      <c r="AQ499" s="85"/>
      <c r="AR499" s="85"/>
      <c r="AS499" s="85"/>
      <c r="AT499" s="205"/>
      <c r="AU499" s="85"/>
      <c r="AV499" s="196"/>
      <c r="AW499" s="85"/>
      <c r="AX499" s="85"/>
      <c r="AY499" s="39">
        <v>0.01</v>
      </c>
      <c r="AZ499" s="7">
        <v>170.2</v>
      </c>
      <c r="BA499" s="62"/>
      <c r="BB499" s="7"/>
      <c r="BC499" s="7"/>
      <c r="BD499" s="7"/>
      <c r="BE499" s="7"/>
      <c r="BF499" s="39"/>
      <c r="BG499" s="7"/>
      <c r="BH499" s="62"/>
      <c r="BI499" s="7"/>
      <c r="BJ499" s="32"/>
      <c r="BK499" s="256"/>
    </row>
    <row r="500" spans="1:63" ht="23.25" customHeight="1" thickBot="1" x14ac:dyDescent="0.25">
      <c r="A500" s="62">
        <v>499</v>
      </c>
      <c r="B500" s="221"/>
      <c r="C500" s="221"/>
      <c r="D500" s="223"/>
      <c r="E500" s="54" t="s">
        <v>450</v>
      </c>
      <c r="F500" s="16">
        <v>82.142857142857139</v>
      </c>
      <c r="G500" s="8">
        <v>10.714285714285714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17">
        <v>0</v>
      </c>
      <c r="T500" s="8">
        <v>5</v>
      </c>
      <c r="U500" s="8">
        <v>0</v>
      </c>
      <c r="V500" s="8">
        <v>0</v>
      </c>
      <c r="W500" s="8">
        <v>2.1428571428571428</v>
      </c>
      <c r="X500" s="8">
        <v>0</v>
      </c>
      <c r="Y500" s="8">
        <v>0</v>
      </c>
      <c r="Z500" s="8">
        <v>0</v>
      </c>
      <c r="AA500" s="8">
        <v>0</v>
      </c>
      <c r="AB500" s="8">
        <v>0</v>
      </c>
      <c r="AC500" s="8">
        <v>0</v>
      </c>
      <c r="AD500" s="14">
        <f t="shared" si="35"/>
        <v>99.999999999999986</v>
      </c>
      <c r="AE500" s="8">
        <v>0</v>
      </c>
      <c r="AF500" s="8">
        <v>0</v>
      </c>
      <c r="AG500" s="8">
        <v>0</v>
      </c>
      <c r="AH500" s="8">
        <v>0</v>
      </c>
      <c r="AI500" s="39" t="s">
        <v>1531</v>
      </c>
      <c r="AJ500" s="7"/>
      <c r="AK500" s="62"/>
      <c r="AL500" s="158"/>
      <c r="AM500" s="85"/>
      <c r="AN500" s="85"/>
      <c r="AO500" s="85"/>
      <c r="AP500" s="85"/>
      <c r="AQ500" s="85"/>
      <c r="AR500" s="85"/>
      <c r="AS500" s="85"/>
      <c r="AT500" s="205"/>
      <c r="AU500" s="85"/>
      <c r="AV500" s="196"/>
      <c r="AW500" s="85"/>
      <c r="AX500" s="85"/>
      <c r="AY500" s="39">
        <v>0.01</v>
      </c>
      <c r="AZ500" s="7">
        <v>184.9</v>
      </c>
      <c r="BA500" s="62"/>
      <c r="BB500" s="7"/>
      <c r="BC500" s="7"/>
      <c r="BD500" s="7"/>
      <c r="BE500" s="7"/>
      <c r="BF500" s="39"/>
      <c r="BG500" s="7"/>
      <c r="BH500" s="62"/>
      <c r="BI500" s="7"/>
      <c r="BJ500" s="32"/>
      <c r="BK500" s="256"/>
    </row>
    <row r="501" spans="1:63" s="6" customFormat="1" ht="23.25" customHeight="1" thickBot="1" x14ac:dyDescent="0.25">
      <c r="A501" s="7">
        <v>500</v>
      </c>
      <c r="B501" s="222"/>
      <c r="C501" s="222"/>
      <c r="D501" s="224"/>
      <c r="E501" s="13" t="s">
        <v>451</v>
      </c>
      <c r="F501" s="80">
        <v>82.142857142857139</v>
      </c>
      <c r="G501" s="81">
        <v>10.714285714285714</v>
      </c>
      <c r="H501" s="81">
        <v>0</v>
      </c>
      <c r="I501" s="81">
        <v>0</v>
      </c>
      <c r="J501" s="81">
        <v>0</v>
      </c>
      <c r="K501" s="81">
        <v>0</v>
      </c>
      <c r="L501" s="81">
        <v>0</v>
      </c>
      <c r="M501" s="81">
        <v>0</v>
      </c>
      <c r="N501" s="81">
        <v>0</v>
      </c>
      <c r="O501" s="81">
        <v>0</v>
      </c>
      <c r="P501" s="81">
        <v>0</v>
      </c>
      <c r="Q501" s="81">
        <v>0</v>
      </c>
      <c r="R501" s="81">
        <v>0</v>
      </c>
      <c r="S501" s="82">
        <v>0</v>
      </c>
      <c r="T501" s="81">
        <v>5</v>
      </c>
      <c r="U501" s="81">
        <v>2.1428571428571428</v>
      </c>
      <c r="V501" s="81">
        <v>0</v>
      </c>
      <c r="W501" s="81">
        <v>0</v>
      </c>
      <c r="X501" s="81">
        <v>0</v>
      </c>
      <c r="Y501" s="81">
        <v>0</v>
      </c>
      <c r="Z501" s="81">
        <v>0</v>
      </c>
      <c r="AA501" s="81">
        <v>0</v>
      </c>
      <c r="AB501" s="81">
        <v>0</v>
      </c>
      <c r="AC501" s="81">
        <v>0</v>
      </c>
      <c r="AD501" s="83">
        <f t="shared" si="35"/>
        <v>99.999999999999986</v>
      </c>
      <c r="AE501" s="81">
        <v>0</v>
      </c>
      <c r="AF501" s="81">
        <v>0</v>
      </c>
      <c r="AG501" s="81">
        <v>0</v>
      </c>
      <c r="AH501" s="81">
        <v>0</v>
      </c>
      <c r="AI501" s="79" t="s">
        <v>1531</v>
      </c>
      <c r="AJ501" s="65"/>
      <c r="AK501" s="78"/>
      <c r="AL501" s="200"/>
      <c r="AM501" s="190"/>
      <c r="AN501" s="190"/>
      <c r="AO501" s="190"/>
      <c r="AP501" s="190"/>
      <c r="AQ501" s="190"/>
      <c r="AR501" s="190"/>
      <c r="AS501" s="190"/>
      <c r="AT501" s="201"/>
      <c r="AU501" s="190"/>
      <c r="AV501" s="202"/>
      <c r="AW501" s="190">
        <v>11.439</v>
      </c>
      <c r="AX501" s="190"/>
      <c r="AY501" s="79">
        <v>0.01</v>
      </c>
      <c r="AZ501" s="65">
        <v>189</v>
      </c>
      <c r="BA501" s="78"/>
      <c r="BB501" s="65"/>
      <c r="BC501" s="65"/>
      <c r="BD501" s="65"/>
      <c r="BE501" s="65"/>
      <c r="BF501" s="79"/>
      <c r="BG501" s="65"/>
      <c r="BH501" s="78"/>
      <c r="BI501" s="65"/>
      <c r="BJ501" s="68"/>
      <c r="BK501" s="256"/>
    </row>
    <row r="502" spans="1:63" ht="23.25" customHeight="1" thickBot="1" x14ac:dyDescent="0.25">
      <c r="A502" s="62">
        <v>501</v>
      </c>
      <c r="B502" s="238" t="s">
        <v>513</v>
      </c>
      <c r="C502" s="238" t="s">
        <v>1867</v>
      </c>
      <c r="D502" s="225" t="s">
        <v>448</v>
      </c>
      <c r="E502" s="54" t="s">
        <v>334</v>
      </c>
      <c r="F502" s="16">
        <v>81.428571428571431</v>
      </c>
      <c r="G502" s="8">
        <v>11.428571428571429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17">
        <v>0</v>
      </c>
      <c r="T502" s="8">
        <v>5</v>
      </c>
      <c r="U502" s="8">
        <v>0</v>
      </c>
      <c r="V502" s="8">
        <v>0</v>
      </c>
      <c r="W502" s="8">
        <v>2.1428571428571428</v>
      </c>
      <c r="X502" s="8">
        <v>0</v>
      </c>
      <c r="Y502" s="8">
        <v>0</v>
      </c>
      <c r="Z502" s="8">
        <v>0</v>
      </c>
      <c r="AA502" s="8">
        <v>0</v>
      </c>
      <c r="AB502" s="8">
        <v>0</v>
      </c>
      <c r="AC502" s="8">
        <v>0</v>
      </c>
      <c r="AD502" s="14">
        <f t="shared" si="35"/>
        <v>100</v>
      </c>
      <c r="AE502" s="8">
        <v>0</v>
      </c>
      <c r="AF502" s="8">
        <v>0</v>
      </c>
      <c r="AG502" s="8">
        <v>0</v>
      </c>
      <c r="AH502" s="8">
        <v>0</v>
      </c>
      <c r="AI502" s="39" t="s">
        <v>1531</v>
      </c>
      <c r="AJ502" s="7"/>
      <c r="AK502" s="62"/>
      <c r="AL502" s="158">
        <v>96.1</v>
      </c>
      <c r="AM502" s="85">
        <v>3.5</v>
      </c>
      <c r="AN502" s="85">
        <v>0.4</v>
      </c>
      <c r="AO502" s="85"/>
      <c r="AP502" s="85"/>
      <c r="AQ502" s="85"/>
      <c r="AR502" s="85"/>
      <c r="AS502" s="85"/>
      <c r="AT502" s="205"/>
      <c r="AU502" s="85">
        <v>0</v>
      </c>
      <c r="AV502" s="196">
        <f>SUM(AL502:AT502)</f>
        <v>100</v>
      </c>
      <c r="AW502" s="85">
        <v>11.459</v>
      </c>
      <c r="AX502" s="85"/>
      <c r="AY502" s="39">
        <v>0.01</v>
      </c>
      <c r="AZ502" s="7">
        <v>197</v>
      </c>
      <c r="BA502" s="62"/>
      <c r="BB502" s="7">
        <v>5</v>
      </c>
      <c r="BC502" s="7">
        <v>17</v>
      </c>
      <c r="BD502" s="7"/>
      <c r="BE502" s="7"/>
      <c r="BF502" s="39"/>
      <c r="BG502" s="7"/>
      <c r="BH502" s="62"/>
      <c r="BI502" s="7"/>
      <c r="BJ502" s="32"/>
      <c r="BK502" s="256" t="s">
        <v>8</v>
      </c>
    </row>
    <row r="503" spans="1:63" ht="23.25" customHeight="1" thickBot="1" x14ac:dyDescent="0.25">
      <c r="A503" s="7">
        <v>502</v>
      </c>
      <c r="B503" s="221"/>
      <c r="C503" s="221"/>
      <c r="D503" s="223"/>
      <c r="E503" s="54" t="s">
        <v>307</v>
      </c>
      <c r="F503" s="16">
        <v>81</v>
      </c>
      <c r="G503" s="8">
        <v>11.428571428571429</v>
      </c>
      <c r="H503" s="8">
        <v>0</v>
      </c>
      <c r="I503" s="8">
        <v>0</v>
      </c>
      <c r="J503" s="8">
        <v>0</v>
      </c>
      <c r="K503" s="8">
        <v>0</v>
      </c>
      <c r="L503" s="8">
        <v>0.4285714285714286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17">
        <v>0</v>
      </c>
      <c r="T503" s="8">
        <v>5</v>
      </c>
      <c r="U503" s="8">
        <v>0</v>
      </c>
      <c r="V503" s="8">
        <v>0</v>
      </c>
      <c r="W503" s="8">
        <v>2.1428571428571428</v>
      </c>
      <c r="X503" s="8">
        <v>0</v>
      </c>
      <c r="Y503" s="8">
        <v>0</v>
      </c>
      <c r="Z503" s="8">
        <v>0</v>
      </c>
      <c r="AA503" s="8">
        <v>0</v>
      </c>
      <c r="AB503" s="8">
        <v>0</v>
      </c>
      <c r="AC503" s="8">
        <v>0</v>
      </c>
      <c r="AD503" s="14">
        <f t="shared" si="35"/>
        <v>100</v>
      </c>
      <c r="AE503" s="8">
        <v>0</v>
      </c>
      <c r="AF503" s="8">
        <v>0</v>
      </c>
      <c r="AG503" s="8">
        <v>0</v>
      </c>
      <c r="AH503" s="8">
        <v>0</v>
      </c>
      <c r="AI503" s="39" t="s">
        <v>1531</v>
      </c>
      <c r="AJ503" s="7"/>
      <c r="AK503" s="62"/>
      <c r="AL503" s="158">
        <v>85.9</v>
      </c>
      <c r="AM503" s="85">
        <v>10.6</v>
      </c>
      <c r="AN503" s="85">
        <v>3.5</v>
      </c>
      <c r="AO503" s="85"/>
      <c r="AP503" s="85"/>
      <c r="AQ503" s="85"/>
      <c r="AR503" s="85"/>
      <c r="AS503" s="85"/>
      <c r="AT503" s="205"/>
      <c r="AU503" s="85">
        <v>0</v>
      </c>
      <c r="AV503" s="196">
        <f>SUM(AL503:AT503)</f>
        <v>100</v>
      </c>
      <c r="AW503" s="85">
        <v>11.456</v>
      </c>
      <c r="AX503" s="85"/>
      <c r="AY503" s="39">
        <v>0.01</v>
      </c>
      <c r="AZ503" s="7">
        <v>180</v>
      </c>
      <c r="BA503" s="62"/>
      <c r="BB503" s="7">
        <v>5</v>
      </c>
      <c r="BC503" s="7">
        <v>12</v>
      </c>
      <c r="BD503" s="7"/>
      <c r="BE503" s="7"/>
      <c r="BF503" s="39"/>
      <c r="BG503" s="7"/>
      <c r="BH503" s="62"/>
      <c r="BI503" s="7"/>
      <c r="BJ503" s="32"/>
      <c r="BK503" s="256"/>
    </row>
    <row r="504" spans="1:63" ht="23.25" customHeight="1" thickBot="1" x14ac:dyDescent="0.25">
      <c r="A504" s="62">
        <v>503</v>
      </c>
      <c r="B504" s="221"/>
      <c r="C504" s="221"/>
      <c r="D504" s="223"/>
      <c r="E504" s="54" t="s">
        <v>385</v>
      </c>
      <c r="F504" s="16">
        <v>80.571428571428584</v>
      </c>
      <c r="G504" s="8">
        <v>11.428571428571429</v>
      </c>
      <c r="H504" s="8">
        <v>0</v>
      </c>
      <c r="I504" s="8">
        <v>0</v>
      </c>
      <c r="J504" s="8">
        <v>0</v>
      </c>
      <c r="K504" s="8">
        <v>0</v>
      </c>
      <c r="L504" s="8">
        <v>0.85714285714285721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17">
        <v>0</v>
      </c>
      <c r="T504" s="8">
        <v>5</v>
      </c>
      <c r="U504" s="8">
        <v>0</v>
      </c>
      <c r="V504" s="8">
        <v>0</v>
      </c>
      <c r="W504" s="8">
        <v>2.1428571428571428</v>
      </c>
      <c r="X504" s="8">
        <v>0</v>
      </c>
      <c r="Y504" s="8">
        <v>0</v>
      </c>
      <c r="Z504" s="8">
        <v>0</v>
      </c>
      <c r="AA504" s="8">
        <v>0</v>
      </c>
      <c r="AB504" s="8">
        <v>0</v>
      </c>
      <c r="AC504" s="8">
        <v>0</v>
      </c>
      <c r="AD504" s="14">
        <f t="shared" si="35"/>
        <v>100.00000000000001</v>
      </c>
      <c r="AE504" s="8">
        <v>0</v>
      </c>
      <c r="AF504" s="8">
        <v>0</v>
      </c>
      <c r="AG504" s="8">
        <v>0</v>
      </c>
      <c r="AH504" s="8">
        <v>0</v>
      </c>
      <c r="AI504" s="39" t="s">
        <v>1531</v>
      </c>
      <c r="AJ504" s="7"/>
      <c r="AK504" s="62"/>
      <c r="AL504" s="158">
        <v>92.6</v>
      </c>
      <c r="AM504" s="85">
        <v>6</v>
      </c>
      <c r="AN504" s="85">
        <v>1.4</v>
      </c>
      <c r="AO504" s="85"/>
      <c r="AP504" s="85"/>
      <c r="AQ504" s="85"/>
      <c r="AR504" s="85"/>
      <c r="AS504" s="85"/>
      <c r="AT504" s="205"/>
      <c r="AU504" s="85">
        <v>0</v>
      </c>
      <c r="AV504" s="196">
        <f>SUM(AL504:AT504)</f>
        <v>100</v>
      </c>
      <c r="AW504" s="85">
        <v>11.454000000000001</v>
      </c>
      <c r="AX504" s="85"/>
      <c r="AY504" s="39">
        <v>0.01</v>
      </c>
      <c r="AZ504" s="7">
        <v>185</v>
      </c>
      <c r="BA504" s="62"/>
      <c r="BB504" s="7">
        <v>5</v>
      </c>
      <c r="BC504" s="7">
        <v>14.2</v>
      </c>
      <c r="BD504" s="7"/>
      <c r="BE504" s="7"/>
      <c r="BF504" s="39"/>
      <c r="BG504" s="7"/>
      <c r="BH504" s="62"/>
      <c r="BI504" s="7"/>
      <c r="BJ504" s="32"/>
      <c r="BK504" s="256"/>
    </row>
    <row r="505" spans="1:63" ht="23.25" customHeight="1" thickBot="1" x14ac:dyDescent="0.25">
      <c r="A505" s="7">
        <v>504</v>
      </c>
      <c r="B505" s="221"/>
      <c r="C505" s="221"/>
      <c r="D505" s="223"/>
      <c r="E505" s="54" t="s">
        <v>449</v>
      </c>
      <c r="F505" s="16">
        <v>79.785714285714278</v>
      </c>
      <c r="G505" s="8">
        <v>11.428571428571429</v>
      </c>
      <c r="H505" s="8">
        <v>0</v>
      </c>
      <c r="I505" s="8">
        <v>0</v>
      </c>
      <c r="J505" s="8">
        <v>0</v>
      </c>
      <c r="K505" s="8">
        <v>0</v>
      </c>
      <c r="L505" s="8">
        <v>1.6428571428571428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17">
        <v>0</v>
      </c>
      <c r="T505" s="8">
        <v>5</v>
      </c>
      <c r="U505" s="8">
        <v>0</v>
      </c>
      <c r="V505" s="8">
        <v>0</v>
      </c>
      <c r="W505" s="8">
        <v>2.1428571428571428</v>
      </c>
      <c r="X505" s="8">
        <v>0</v>
      </c>
      <c r="Y505" s="8">
        <v>0</v>
      </c>
      <c r="Z505" s="8">
        <v>0</v>
      </c>
      <c r="AA505" s="8">
        <v>0</v>
      </c>
      <c r="AB505" s="8">
        <v>0</v>
      </c>
      <c r="AC505" s="8">
        <v>0</v>
      </c>
      <c r="AD505" s="14">
        <f t="shared" si="35"/>
        <v>99.999999999999986</v>
      </c>
      <c r="AE505" s="8">
        <v>0</v>
      </c>
      <c r="AF505" s="8">
        <v>0</v>
      </c>
      <c r="AG505" s="8">
        <v>0</v>
      </c>
      <c r="AH505" s="8">
        <v>0</v>
      </c>
      <c r="AI505" s="39" t="s">
        <v>1531</v>
      </c>
      <c r="AJ505" s="7"/>
      <c r="AK505" s="62"/>
      <c r="AL505" s="158">
        <v>94</v>
      </c>
      <c r="AM505" s="85">
        <v>4.7</v>
      </c>
      <c r="AN505" s="85">
        <v>1.3</v>
      </c>
      <c r="AO505" s="85"/>
      <c r="AP505" s="85"/>
      <c r="AQ505" s="85"/>
      <c r="AR505" s="85"/>
      <c r="AS505" s="85"/>
      <c r="AT505" s="205"/>
      <c r="AU505" s="85">
        <v>0</v>
      </c>
      <c r="AV505" s="196">
        <f>SUM(AL505:AT505)</f>
        <v>100</v>
      </c>
      <c r="AW505" s="85">
        <v>11.452</v>
      </c>
      <c r="AX505" s="85"/>
      <c r="AY505" s="39">
        <v>0.01</v>
      </c>
      <c r="AZ505" s="7">
        <v>190</v>
      </c>
      <c r="BA505" s="62"/>
      <c r="BB505" s="7">
        <v>5</v>
      </c>
      <c r="BC505" s="7">
        <v>15.6</v>
      </c>
      <c r="BD505" s="7"/>
      <c r="BE505" s="7"/>
      <c r="BF505" s="39"/>
      <c r="BG505" s="7"/>
      <c r="BH505" s="62"/>
      <c r="BI505" s="7"/>
      <c r="BJ505" s="32"/>
      <c r="BK505" s="256"/>
    </row>
    <row r="506" spans="1:63" ht="23.25" customHeight="1" thickBot="1" x14ac:dyDescent="0.25">
      <c r="A506" s="62">
        <v>505</v>
      </c>
      <c r="B506" s="222"/>
      <c r="C506" s="222"/>
      <c r="D506" s="224"/>
      <c r="E506" s="54" t="s">
        <v>295</v>
      </c>
      <c r="F506" s="16">
        <v>79</v>
      </c>
      <c r="G506" s="8">
        <v>11.428571428571429</v>
      </c>
      <c r="H506" s="8">
        <v>0</v>
      </c>
      <c r="I506" s="8">
        <v>0</v>
      </c>
      <c r="J506" s="8">
        <v>0</v>
      </c>
      <c r="K506" s="8">
        <v>0</v>
      </c>
      <c r="L506" s="8">
        <v>2.4285714285714288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17">
        <v>0</v>
      </c>
      <c r="T506" s="8">
        <v>5</v>
      </c>
      <c r="U506" s="8">
        <v>0</v>
      </c>
      <c r="V506" s="8">
        <v>0</v>
      </c>
      <c r="W506" s="8">
        <v>2.1428571428571428</v>
      </c>
      <c r="X506" s="8">
        <v>0</v>
      </c>
      <c r="Y506" s="8">
        <v>0</v>
      </c>
      <c r="Z506" s="8">
        <v>0</v>
      </c>
      <c r="AA506" s="8">
        <v>0</v>
      </c>
      <c r="AB506" s="8">
        <v>0</v>
      </c>
      <c r="AC506" s="8">
        <v>0</v>
      </c>
      <c r="AD506" s="14">
        <f t="shared" si="35"/>
        <v>100</v>
      </c>
      <c r="AE506" s="8">
        <v>0</v>
      </c>
      <c r="AF506" s="8">
        <v>0</v>
      </c>
      <c r="AG506" s="8">
        <v>0</v>
      </c>
      <c r="AH506" s="8">
        <v>0</v>
      </c>
      <c r="AI506" s="39" t="s">
        <v>1531</v>
      </c>
      <c r="AJ506" s="7"/>
      <c r="AK506" s="62"/>
      <c r="AL506" s="158">
        <v>97.5</v>
      </c>
      <c r="AM506" s="85">
        <v>2.2999999999999998</v>
      </c>
      <c r="AN506" s="85">
        <v>0.2</v>
      </c>
      <c r="AO506" s="85"/>
      <c r="AP506" s="85"/>
      <c r="AQ506" s="85"/>
      <c r="AR506" s="85"/>
      <c r="AS506" s="85"/>
      <c r="AT506" s="205"/>
      <c r="AU506" s="85">
        <v>0</v>
      </c>
      <c r="AV506" s="196">
        <f>SUM(AL506:AT506)</f>
        <v>100</v>
      </c>
      <c r="AW506" s="85">
        <v>11.452</v>
      </c>
      <c r="AX506" s="85"/>
      <c r="AY506" s="39">
        <v>0.01</v>
      </c>
      <c r="AZ506" s="7">
        <v>195</v>
      </c>
      <c r="BA506" s="62"/>
      <c r="BB506" s="7">
        <v>5</v>
      </c>
      <c r="BC506" s="7">
        <v>17.5</v>
      </c>
      <c r="BD506" s="7"/>
      <c r="BE506" s="7"/>
      <c r="BF506" s="39"/>
      <c r="BG506" s="7"/>
      <c r="BH506" s="62"/>
      <c r="BI506" s="7"/>
      <c r="BJ506" s="32"/>
      <c r="BK506" s="256"/>
    </row>
    <row r="507" spans="1:63" s="4" customFormat="1" ht="23.25" customHeight="1" thickBot="1" x14ac:dyDescent="0.25">
      <c r="A507" s="7">
        <v>506</v>
      </c>
      <c r="B507" s="238">
        <v>574</v>
      </c>
      <c r="C507" s="238" t="s">
        <v>1800</v>
      </c>
      <c r="D507" s="225" t="s">
        <v>141</v>
      </c>
      <c r="E507" s="12" t="s">
        <v>241</v>
      </c>
      <c r="F507" s="87">
        <v>71.428571428571431</v>
      </c>
      <c r="G507" s="88">
        <v>21.428571428571427</v>
      </c>
      <c r="H507" s="88">
        <v>0</v>
      </c>
      <c r="I507" s="88">
        <v>0</v>
      </c>
      <c r="J507" s="88">
        <v>0</v>
      </c>
      <c r="K507" s="88">
        <v>0</v>
      </c>
      <c r="L507" s="88">
        <v>0</v>
      </c>
      <c r="M507" s="88">
        <v>0</v>
      </c>
      <c r="N507" s="88">
        <v>0</v>
      </c>
      <c r="O507" s="88">
        <v>0</v>
      </c>
      <c r="P507" s="88">
        <v>0</v>
      </c>
      <c r="Q507" s="88">
        <v>0</v>
      </c>
      <c r="R507" s="88">
        <v>0</v>
      </c>
      <c r="S507" s="89">
        <v>0</v>
      </c>
      <c r="T507" s="88">
        <v>7.1428571428571423</v>
      </c>
      <c r="U507" s="88">
        <v>0</v>
      </c>
      <c r="V507" s="88">
        <v>0</v>
      </c>
      <c r="W507" s="88">
        <v>0</v>
      </c>
      <c r="X507" s="88">
        <v>0</v>
      </c>
      <c r="Y507" s="88">
        <v>0</v>
      </c>
      <c r="Z507" s="88">
        <v>0</v>
      </c>
      <c r="AA507" s="88">
        <v>0</v>
      </c>
      <c r="AB507" s="88">
        <v>0</v>
      </c>
      <c r="AC507" s="88">
        <v>0</v>
      </c>
      <c r="AD507" s="90">
        <f t="shared" si="35"/>
        <v>100</v>
      </c>
      <c r="AE507" s="88">
        <v>0</v>
      </c>
      <c r="AF507" s="88">
        <v>0</v>
      </c>
      <c r="AG507" s="88">
        <v>0</v>
      </c>
      <c r="AH507" s="88">
        <v>0</v>
      </c>
      <c r="AI507" s="156" t="s">
        <v>1531</v>
      </c>
      <c r="AJ507" s="45">
        <v>480</v>
      </c>
      <c r="AK507" s="91">
        <v>1323</v>
      </c>
      <c r="AL507" s="197"/>
      <c r="AM507" s="189"/>
      <c r="AN507" s="189"/>
      <c r="AO507" s="189"/>
      <c r="AP507" s="189"/>
      <c r="AQ507" s="189"/>
      <c r="AR507" s="189"/>
      <c r="AS507" s="189"/>
      <c r="AT507" s="198"/>
      <c r="AU507" s="189"/>
      <c r="AV507" s="199"/>
      <c r="AW507" s="189">
        <v>11.407999999999999</v>
      </c>
      <c r="AX507" s="189"/>
      <c r="AY507" s="156">
        <v>0.05</v>
      </c>
      <c r="AZ507" s="45">
        <v>232</v>
      </c>
      <c r="BA507" s="91"/>
      <c r="BB507" s="45"/>
      <c r="BC507" s="45"/>
      <c r="BD507" s="45"/>
      <c r="BE507" s="45"/>
      <c r="BF507" s="156"/>
      <c r="BG507" s="45"/>
      <c r="BH507" s="91"/>
      <c r="BI507" s="45"/>
      <c r="BJ507" s="67"/>
      <c r="BK507" s="256" t="s">
        <v>142</v>
      </c>
    </row>
    <row r="508" spans="1:63" ht="23.25" customHeight="1" thickBot="1" x14ac:dyDescent="0.25">
      <c r="A508" s="62">
        <v>507</v>
      </c>
      <c r="B508" s="221"/>
      <c r="C508" s="221"/>
      <c r="D508" s="223"/>
      <c r="E508" s="54" t="s">
        <v>249</v>
      </c>
      <c r="F508" s="16">
        <v>71.428571428571431</v>
      </c>
      <c r="G508" s="8">
        <v>21.428571428571427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17">
        <v>0</v>
      </c>
      <c r="T508" s="8">
        <v>7.1428571428571423</v>
      </c>
      <c r="U508" s="8">
        <v>0</v>
      </c>
      <c r="V508" s="8">
        <v>0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14">
        <f t="shared" si="35"/>
        <v>100</v>
      </c>
      <c r="AE508" s="8">
        <v>0</v>
      </c>
      <c r="AF508" s="8">
        <f>0.2/14*100</f>
        <v>1.4285714285714286</v>
      </c>
      <c r="AG508" s="8">
        <v>0</v>
      </c>
      <c r="AH508" s="8">
        <v>0</v>
      </c>
      <c r="AI508" s="39" t="s">
        <v>1531</v>
      </c>
      <c r="AJ508" s="7">
        <v>480</v>
      </c>
      <c r="AK508" s="62">
        <v>1323</v>
      </c>
      <c r="AL508" s="158"/>
      <c r="AM508" s="85"/>
      <c r="AN508" s="85"/>
      <c r="AO508" s="85"/>
      <c r="AP508" s="85"/>
      <c r="AQ508" s="85"/>
      <c r="AR508" s="85"/>
      <c r="AS508" s="85"/>
      <c r="AT508" s="205"/>
      <c r="AU508" s="85"/>
      <c r="AV508" s="196"/>
      <c r="AW508" s="85">
        <v>11.440099999999999</v>
      </c>
      <c r="AX508" s="85"/>
      <c r="AY508" s="39">
        <v>0.05</v>
      </c>
      <c r="AZ508" s="7">
        <v>260</v>
      </c>
      <c r="BA508" s="62"/>
      <c r="BB508" s="7"/>
      <c r="BC508" s="7"/>
      <c r="BD508" s="7"/>
      <c r="BE508" s="7"/>
      <c r="BF508" s="39"/>
      <c r="BG508" s="7"/>
      <c r="BH508" s="62"/>
      <c r="BI508" s="7"/>
      <c r="BJ508" s="32"/>
      <c r="BK508" s="256"/>
    </row>
    <row r="509" spans="1:63" ht="23.25" customHeight="1" thickBot="1" x14ac:dyDescent="0.25">
      <c r="A509" s="7">
        <v>508</v>
      </c>
      <c r="B509" s="221"/>
      <c r="C509" s="221"/>
      <c r="D509" s="223"/>
      <c r="E509" s="54" t="s">
        <v>242</v>
      </c>
      <c r="F509" s="16">
        <v>71.428571428571431</v>
      </c>
      <c r="G509" s="8">
        <v>21.428571428571427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17">
        <v>0</v>
      </c>
      <c r="T509" s="8">
        <v>7.1428571428571423</v>
      </c>
      <c r="U509" s="8">
        <v>0</v>
      </c>
      <c r="V509" s="8">
        <v>0</v>
      </c>
      <c r="W509" s="8">
        <v>0</v>
      </c>
      <c r="X509" s="8">
        <v>0</v>
      </c>
      <c r="Y509" s="8">
        <v>0</v>
      </c>
      <c r="Z509" s="8">
        <v>0</v>
      </c>
      <c r="AA509" s="8">
        <v>0</v>
      </c>
      <c r="AB509" s="8">
        <v>0</v>
      </c>
      <c r="AC509" s="8">
        <v>0</v>
      </c>
      <c r="AD509" s="14">
        <f t="shared" si="35"/>
        <v>100</v>
      </c>
      <c r="AE509" s="8">
        <v>0</v>
      </c>
      <c r="AF509" s="8">
        <f>0.3/14*100</f>
        <v>2.1428571428571428</v>
      </c>
      <c r="AG509" s="8">
        <v>0</v>
      </c>
      <c r="AH509" s="8">
        <v>0</v>
      </c>
      <c r="AI509" s="39" t="s">
        <v>1531</v>
      </c>
      <c r="AJ509" s="7">
        <v>480</v>
      </c>
      <c r="AK509" s="62">
        <v>1323</v>
      </c>
      <c r="AL509" s="158"/>
      <c r="AM509" s="85"/>
      <c r="AN509" s="85"/>
      <c r="AO509" s="85"/>
      <c r="AP509" s="85"/>
      <c r="AQ509" s="85"/>
      <c r="AR509" s="85"/>
      <c r="AS509" s="85"/>
      <c r="AT509" s="205"/>
      <c r="AU509" s="85"/>
      <c r="AV509" s="196"/>
      <c r="AW509" s="85">
        <v>11.4503</v>
      </c>
      <c r="AX509" s="85"/>
      <c r="AY509" s="39">
        <v>0.05</v>
      </c>
      <c r="AZ509" s="7">
        <v>265</v>
      </c>
      <c r="BA509" s="62"/>
      <c r="BB509" s="7"/>
      <c r="BC509" s="7"/>
      <c r="BD509" s="7"/>
      <c r="BE509" s="7"/>
      <c r="BF509" s="39"/>
      <c r="BG509" s="7"/>
      <c r="BH509" s="62"/>
      <c r="BI509" s="7"/>
      <c r="BJ509" s="32"/>
      <c r="BK509" s="256"/>
    </row>
    <row r="510" spans="1:63" s="6" customFormat="1" ht="23.25" customHeight="1" thickBot="1" x14ac:dyDescent="0.25">
      <c r="A510" s="62">
        <v>509</v>
      </c>
      <c r="B510" s="222"/>
      <c r="C510" s="222"/>
      <c r="D510" s="224"/>
      <c r="E510" s="13" t="s">
        <v>243</v>
      </c>
      <c r="F510" s="80">
        <v>71.428571428571431</v>
      </c>
      <c r="G510" s="81">
        <v>21.428571428571427</v>
      </c>
      <c r="H510" s="81">
        <v>0</v>
      </c>
      <c r="I510" s="81">
        <v>0</v>
      </c>
      <c r="J510" s="81">
        <v>0</v>
      </c>
      <c r="K510" s="81">
        <v>0</v>
      </c>
      <c r="L510" s="81">
        <v>0</v>
      </c>
      <c r="M510" s="81">
        <v>0</v>
      </c>
      <c r="N510" s="81">
        <v>0</v>
      </c>
      <c r="O510" s="81">
        <v>0</v>
      </c>
      <c r="P510" s="81">
        <v>0</v>
      </c>
      <c r="Q510" s="81">
        <v>0</v>
      </c>
      <c r="R510" s="81">
        <v>0</v>
      </c>
      <c r="S510" s="82">
        <v>0</v>
      </c>
      <c r="T510" s="81">
        <v>7.1428571428571423</v>
      </c>
      <c r="U510" s="81">
        <v>0</v>
      </c>
      <c r="V510" s="81">
        <v>0</v>
      </c>
      <c r="W510" s="81">
        <v>0</v>
      </c>
      <c r="X510" s="81">
        <v>0</v>
      </c>
      <c r="Y510" s="81">
        <v>0</v>
      </c>
      <c r="Z510" s="81">
        <v>0</v>
      </c>
      <c r="AA510" s="81">
        <v>0</v>
      </c>
      <c r="AB510" s="81">
        <v>0</v>
      </c>
      <c r="AC510" s="81">
        <v>0</v>
      </c>
      <c r="AD510" s="83">
        <f t="shared" si="35"/>
        <v>100</v>
      </c>
      <c r="AE510" s="81">
        <v>0</v>
      </c>
      <c r="AF510" s="81">
        <f>0.4/14*100</f>
        <v>2.8571428571428572</v>
      </c>
      <c r="AG510" s="81">
        <v>0</v>
      </c>
      <c r="AH510" s="81">
        <v>0</v>
      </c>
      <c r="AI510" s="79" t="s">
        <v>1531</v>
      </c>
      <c r="AJ510" s="65">
        <v>480</v>
      </c>
      <c r="AK510" s="78">
        <v>1323</v>
      </c>
      <c r="AL510" s="200"/>
      <c r="AM510" s="190"/>
      <c r="AN510" s="190"/>
      <c r="AO510" s="190"/>
      <c r="AP510" s="190"/>
      <c r="AQ510" s="190"/>
      <c r="AR510" s="190"/>
      <c r="AS510" s="190"/>
      <c r="AT510" s="201"/>
      <c r="AU510" s="190"/>
      <c r="AV510" s="202"/>
      <c r="AW510" s="190">
        <v>11.4575</v>
      </c>
      <c r="AX510" s="190"/>
      <c r="AY510" s="79">
        <v>0.05</v>
      </c>
      <c r="AZ510" s="65">
        <v>269</v>
      </c>
      <c r="BA510" s="78"/>
      <c r="BB510" s="65"/>
      <c r="BC510" s="65"/>
      <c r="BD510" s="65"/>
      <c r="BE510" s="65"/>
      <c r="BF510" s="79"/>
      <c r="BG510" s="65"/>
      <c r="BH510" s="78"/>
      <c r="BI510" s="65"/>
      <c r="BJ510" s="68"/>
      <c r="BK510" s="256"/>
    </row>
    <row r="511" spans="1:63" ht="23.25" customHeight="1" thickBot="1" x14ac:dyDescent="0.25">
      <c r="A511" s="7">
        <v>510</v>
      </c>
      <c r="B511" s="238">
        <v>576</v>
      </c>
      <c r="C511" s="238" t="s">
        <v>1801</v>
      </c>
      <c r="D511" s="225" t="s">
        <v>452</v>
      </c>
      <c r="E511" s="54" t="s">
        <v>248</v>
      </c>
      <c r="F511" s="16">
        <v>80</v>
      </c>
      <c r="G511" s="8">
        <v>7.8571428571428585</v>
      </c>
      <c r="H511" s="8">
        <v>0</v>
      </c>
      <c r="I511" s="8">
        <v>0</v>
      </c>
      <c r="J511" s="8">
        <v>4.2857142857142856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0.71428571428571441</v>
      </c>
      <c r="Q511" s="8">
        <v>0</v>
      </c>
      <c r="R511" s="8">
        <v>0</v>
      </c>
      <c r="S511" s="17">
        <v>0</v>
      </c>
      <c r="T511" s="8">
        <v>7.1428571428571441</v>
      </c>
      <c r="U511" s="8">
        <v>0</v>
      </c>
      <c r="V511" s="8">
        <v>0</v>
      </c>
      <c r="W511" s="8">
        <v>0</v>
      </c>
      <c r="X511" s="8">
        <v>0</v>
      </c>
      <c r="Y511" s="8">
        <v>0</v>
      </c>
      <c r="Z511" s="8">
        <v>0</v>
      </c>
      <c r="AA511" s="8">
        <v>0</v>
      </c>
      <c r="AB511" s="8">
        <v>0</v>
      </c>
      <c r="AC511" s="8">
        <v>0</v>
      </c>
      <c r="AD511" s="14">
        <f t="shared" si="35"/>
        <v>100</v>
      </c>
      <c r="AE511" s="8">
        <v>0</v>
      </c>
      <c r="AF511" s="8">
        <v>0</v>
      </c>
      <c r="AG511" s="8">
        <v>0</v>
      </c>
      <c r="AH511" s="8">
        <v>0</v>
      </c>
      <c r="AI511" s="39" t="s">
        <v>1531</v>
      </c>
      <c r="AJ511" s="7">
        <v>360</v>
      </c>
      <c r="AK511" s="62">
        <v>1323</v>
      </c>
      <c r="AL511" s="158">
        <v>93</v>
      </c>
      <c r="AM511" s="85"/>
      <c r="AN511" s="85"/>
      <c r="AO511" s="85"/>
      <c r="AP511" s="85"/>
      <c r="AQ511" s="85"/>
      <c r="AR511" s="85"/>
      <c r="AS511" s="85"/>
      <c r="AT511" s="205"/>
      <c r="AU511" s="85">
        <v>1</v>
      </c>
      <c r="AV511" s="196">
        <f t="shared" ref="AV511:AV518" si="39">SUM(AL511:AT511)</f>
        <v>93</v>
      </c>
      <c r="AW511" s="85">
        <v>11.477</v>
      </c>
      <c r="AX511" s="85"/>
      <c r="AY511" s="39"/>
      <c r="AZ511" s="7">
        <v>256</v>
      </c>
      <c r="BA511" s="62"/>
      <c r="BB511" s="7" t="s">
        <v>590</v>
      </c>
      <c r="BC511" s="7" t="s">
        <v>887</v>
      </c>
      <c r="BD511" s="7"/>
      <c r="BE511" s="7"/>
      <c r="BF511" s="39"/>
      <c r="BG511" s="7"/>
      <c r="BH511" s="62"/>
      <c r="BI511" s="7"/>
      <c r="BJ511" s="32"/>
      <c r="BK511" s="256" t="s">
        <v>1896</v>
      </c>
    </row>
    <row r="512" spans="1:63" ht="23.25" customHeight="1" thickBot="1" x14ac:dyDescent="0.25">
      <c r="A512" s="62">
        <v>511</v>
      </c>
      <c r="B512" s="222"/>
      <c r="C512" s="222"/>
      <c r="D512" s="224"/>
      <c r="E512" s="54" t="s">
        <v>249</v>
      </c>
      <c r="F512" s="16">
        <v>80</v>
      </c>
      <c r="G512" s="8">
        <v>7.8571428571428585</v>
      </c>
      <c r="H512" s="8">
        <v>0</v>
      </c>
      <c r="I512" s="8">
        <v>0</v>
      </c>
      <c r="J512" s="8">
        <v>3.5714285714285712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1.4285714285714288</v>
      </c>
      <c r="Q512" s="8">
        <v>0</v>
      </c>
      <c r="R512" s="8">
        <v>0</v>
      </c>
      <c r="S512" s="17">
        <v>0</v>
      </c>
      <c r="T512" s="8">
        <v>7.1428571428571441</v>
      </c>
      <c r="U512" s="8">
        <v>0</v>
      </c>
      <c r="V512" s="8">
        <v>0</v>
      </c>
      <c r="W512" s="8">
        <v>0</v>
      </c>
      <c r="X512" s="8">
        <v>0</v>
      </c>
      <c r="Y512" s="8">
        <v>0</v>
      </c>
      <c r="Z512" s="8">
        <v>0</v>
      </c>
      <c r="AA512" s="8">
        <v>0</v>
      </c>
      <c r="AB512" s="8">
        <v>0</v>
      </c>
      <c r="AC512" s="8">
        <v>0</v>
      </c>
      <c r="AD512" s="14">
        <f t="shared" si="35"/>
        <v>100</v>
      </c>
      <c r="AE512" s="8">
        <v>0</v>
      </c>
      <c r="AF512" s="8">
        <v>0</v>
      </c>
      <c r="AG512" s="8">
        <v>0</v>
      </c>
      <c r="AH512" s="8">
        <v>0</v>
      </c>
      <c r="AI512" s="39" t="s">
        <v>1531</v>
      </c>
      <c r="AJ512" s="7">
        <v>360</v>
      </c>
      <c r="AK512" s="62">
        <v>1323</v>
      </c>
      <c r="AL512" s="158">
        <v>90</v>
      </c>
      <c r="AM512" s="85"/>
      <c r="AN512" s="85"/>
      <c r="AO512" s="85"/>
      <c r="AP512" s="85"/>
      <c r="AQ512" s="85"/>
      <c r="AR512" s="85"/>
      <c r="AS512" s="85"/>
      <c r="AT512" s="205"/>
      <c r="AU512" s="85">
        <v>1</v>
      </c>
      <c r="AV512" s="196">
        <f t="shared" si="39"/>
        <v>90</v>
      </c>
      <c r="AW512" s="85">
        <v>11.476000000000001</v>
      </c>
      <c r="AX512" s="85"/>
      <c r="AY512" s="39"/>
      <c r="AZ512" s="7">
        <v>246</v>
      </c>
      <c r="BA512" s="62"/>
      <c r="BB512" s="7" t="s">
        <v>590</v>
      </c>
      <c r="BC512" s="7" t="s">
        <v>888</v>
      </c>
      <c r="BD512" s="7"/>
      <c r="BE512" s="7"/>
      <c r="BF512" s="39"/>
      <c r="BG512" s="7"/>
      <c r="BH512" s="62"/>
      <c r="BI512" s="7"/>
      <c r="BJ512" s="32"/>
      <c r="BK512" s="256"/>
    </row>
    <row r="513" spans="1:63" s="4" customFormat="1" ht="23.25" customHeight="1" thickBot="1" x14ac:dyDescent="0.25">
      <c r="A513" s="7">
        <v>512</v>
      </c>
      <c r="B513" s="238">
        <v>579</v>
      </c>
      <c r="C513" s="238" t="s">
        <v>1802</v>
      </c>
      <c r="D513" s="225" t="s">
        <v>406</v>
      </c>
      <c r="E513" s="12" t="s">
        <v>248</v>
      </c>
      <c r="F513" s="87">
        <v>79.571428571428569</v>
      </c>
      <c r="G513" s="88">
        <v>7.8571428571428559</v>
      </c>
      <c r="H513" s="88">
        <v>0.7142857142857143</v>
      </c>
      <c r="I513" s="88">
        <v>0</v>
      </c>
      <c r="J513" s="88">
        <v>4.7142857142857144</v>
      </c>
      <c r="K513" s="88">
        <v>0</v>
      </c>
      <c r="L513" s="88">
        <v>0</v>
      </c>
      <c r="M513" s="88">
        <v>0</v>
      </c>
      <c r="N513" s="88">
        <v>0</v>
      </c>
      <c r="O513" s="88">
        <v>0</v>
      </c>
      <c r="P513" s="88">
        <v>0</v>
      </c>
      <c r="Q513" s="88">
        <v>0</v>
      </c>
      <c r="R513" s="88">
        <v>0</v>
      </c>
      <c r="S513" s="89">
        <v>0</v>
      </c>
      <c r="T513" s="88">
        <v>7.1428571428571423</v>
      </c>
      <c r="U513" s="88">
        <v>0</v>
      </c>
      <c r="V513" s="88">
        <v>0</v>
      </c>
      <c r="W513" s="88">
        <v>0</v>
      </c>
      <c r="X513" s="88">
        <v>0</v>
      </c>
      <c r="Y513" s="88">
        <v>0</v>
      </c>
      <c r="Z513" s="88">
        <v>0</v>
      </c>
      <c r="AA513" s="88">
        <v>0</v>
      </c>
      <c r="AB513" s="88">
        <v>0</v>
      </c>
      <c r="AC513" s="88">
        <v>0</v>
      </c>
      <c r="AD513" s="90">
        <f t="shared" si="35"/>
        <v>99.999999999999986</v>
      </c>
      <c r="AE513" s="88">
        <v>0</v>
      </c>
      <c r="AF513" s="88">
        <v>0</v>
      </c>
      <c r="AG513" s="88">
        <v>0</v>
      </c>
      <c r="AH513" s="88">
        <v>0</v>
      </c>
      <c r="AI513" s="156" t="s">
        <v>1531</v>
      </c>
      <c r="AJ513" s="45">
        <v>360</v>
      </c>
      <c r="AK513" s="91">
        <v>1323</v>
      </c>
      <c r="AL513" s="197">
        <v>76</v>
      </c>
      <c r="AM513" s="189">
        <v>24</v>
      </c>
      <c r="AN513" s="189"/>
      <c r="AO513" s="189"/>
      <c r="AP513" s="189"/>
      <c r="AQ513" s="189"/>
      <c r="AR513" s="189"/>
      <c r="AS513" s="189"/>
      <c r="AT513" s="198"/>
      <c r="AU513" s="189">
        <v>0</v>
      </c>
      <c r="AV513" s="199">
        <f t="shared" si="39"/>
        <v>100</v>
      </c>
      <c r="AW513" s="189"/>
      <c r="AX513" s="189"/>
      <c r="AY513" s="156"/>
      <c r="AZ513" s="45"/>
      <c r="BA513" s="91"/>
      <c r="BB513" s="45"/>
      <c r="BC513" s="45"/>
      <c r="BD513" s="45"/>
      <c r="BE513" s="45"/>
      <c r="BF513" s="156"/>
      <c r="BG513" s="45"/>
      <c r="BH513" s="91"/>
      <c r="BI513" s="45"/>
      <c r="BJ513" s="67"/>
      <c r="BK513" s="256"/>
    </row>
    <row r="514" spans="1:63" ht="23.25" customHeight="1" thickBot="1" x14ac:dyDescent="0.25">
      <c r="A514" s="62">
        <v>513</v>
      </c>
      <c r="B514" s="221"/>
      <c r="C514" s="221"/>
      <c r="D514" s="223"/>
      <c r="E514" s="54" t="s">
        <v>249</v>
      </c>
      <c r="F514" s="16">
        <v>79.571428571428569</v>
      </c>
      <c r="G514" s="8">
        <v>7.1428571428571423</v>
      </c>
      <c r="H514" s="8">
        <v>1.4285714285714286</v>
      </c>
      <c r="I514" s="8">
        <v>0</v>
      </c>
      <c r="J514" s="8">
        <v>4.7142857142857144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17">
        <v>0</v>
      </c>
      <c r="T514" s="8">
        <v>7.1428571428571423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>
        <v>0</v>
      </c>
      <c r="AC514" s="8">
        <v>0</v>
      </c>
      <c r="AD514" s="14">
        <f t="shared" si="35"/>
        <v>99.999999999999986</v>
      </c>
      <c r="AE514" s="8">
        <v>0</v>
      </c>
      <c r="AF514" s="8">
        <v>0</v>
      </c>
      <c r="AG514" s="8">
        <v>0</v>
      </c>
      <c r="AH514" s="8">
        <v>0</v>
      </c>
      <c r="AI514" s="39" t="s">
        <v>1531</v>
      </c>
      <c r="AJ514" s="7">
        <v>360</v>
      </c>
      <c r="AK514" s="62">
        <v>1323</v>
      </c>
      <c r="AL514" s="158">
        <v>88</v>
      </c>
      <c r="AM514" s="85">
        <v>12</v>
      </c>
      <c r="AN514" s="85"/>
      <c r="AO514" s="85"/>
      <c r="AP514" s="85"/>
      <c r="AQ514" s="85"/>
      <c r="AR514" s="85"/>
      <c r="AS514" s="85"/>
      <c r="AT514" s="205"/>
      <c r="AU514" s="85">
        <v>0</v>
      </c>
      <c r="AV514" s="196">
        <f t="shared" si="39"/>
        <v>100</v>
      </c>
      <c r="AW514" s="85"/>
      <c r="AX514" s="85"/>
      <c r="AY514" s="39"/>
      <c r="AZ514" s="7"/>
      <c r="BA514" s="62"/>
      <c r="BB514" s="7"/>
      <c r="BC514" s="7"/>
      <c r="BD514" s="7"/>
      <c r="BE514" s="7"/>
      <c r="BF514" s="39"/>
      <c r="BG514" s="7"/>
      <c r="BH514" s="62"/>
      <c r="BI514" s="7"/>
      <c r="BJ514" s="32"/>
      <c r="BK514" s="256"/>
    </row>
    <row r="515" spans="1:63" ht="23.25" customHeight="1" thickBot="1" x14ac:dyDescent="0.25">
      <c r="A515" s="7">
        <v>514</v>
      </c>
      <c r="B515" s="221"/>
      <c r="C515" s="221"/>
      <c r="D515" s="223"/>
      <c r="E515" s="54" t="s">
        <v>242</v>
      </c>
      <c r="F515" s="16">
        <v>79.571428571428569</v>
      </c>
      <c r="G515" s="8">
        <v>6.4285714285714262</v>
      </c>
      <c r="H515" s="8">
        <v>2.1428571428571423</v>
      </c>
      <c r="I515" s="8">
        <v>0</v>
      </c>
      <c r="J515" s="8">
        <v>4.7142857142857135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17">
        <v>0</v>
      </c>
      <c r="T515" s="8">
        <v>7.1428571428571423</v>
      </c>
      <c r="U515" s="8">
        <v>0</v>
      </c>
      <c r="V515" s="8">
        <v>0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  <c r="AD515" s="14">
        <f t="shared" si="35"/>
        <v>99.999999999999986</v>
      </c>
      <c r="AE515" s="8">
        <v>0</v>
      </c>
      <c r="AF515" s="8">
        <v>0</v>
      </c>
      <c r="AG515" s="8">
        <v>0</v>
      </c>
      <c r="AH515" s="8">
        <v>0</v>
      </c>
      <c r="AI515" s="39" t="s">
        <v>1531</v>
      </c>
      <c r="AJ515" s="7">
        <v>360</v>
      </c>
      <c r="AK515" s="62">
        <v>1323</v>
      </c>
      <c r="AL515" s="158">
        <v>93</v>
      </c>
      <c r="AM515" s="85">
        <v>7</v>
      </c>
      <c r="AN515" s="85"/>
      <c r="AO515" s="85"/>
      <c r="AP515" s="85"/>
      <c r="AQ515" s="85"/>
      <c r="AR515" s="85"/>
      <c r="AS515" s="85"/>
      <c r="AT515" s="205"/>
      <c r="AU515" s="85">
        <v>0</v>
      </c>
      <c r="AV515" s="196">
        <f t="shared" si="39"/>
        <v>100</v>
      </c>
      <c r="AW515" s="85"/>
      <c r="AX515" s="85"/>
      <c r="AY515" s="39"/>
      <c r="AZ515" s="7"/>
      <c r="BA515" s="62"/>
      <c r="BB515" s="7"/>
      <c r="BC515" s="7"/>
      <c r="BD515" s="7"/>
      <c r="BE515" s="7"/>
      <c r="BF515" s="39"/>
      <c r="BG515" s="7"/>
      <c r="BH515" s="62"/>
      <c r="BI515" s="7"/>
      <c r="BJ515" s="32"/>
      <c r="BK515" s="256"/>
    </row>
    <row r="516" spans="1:63" ht="23.25" customHeight="1" thickBot="1" x14ac:dyDescent="0.25">
      <c r="A516" s="62">
        <v>515</v>
      </c>
      <c r="B516" s="221"/>
      <c r="C516" s="221"/>
      <c r="D516" s="223" t="s">
        <v>446</v>
      </c>
      <c r="E516" s="54" t="s">
        <v>248</v>
      </c>
      <c r="F516" s="16">
        <v>79.571428571428569</v>
      </c>
      <c r="G516" s="8">
        <v>7.8571428571428559</v>
      </c>
      <c r="H516" s="8">
        <v>0</v>
      </c>
      <c r="I516" s="8">
        <v>0.7142857142857143</v>
      </c>
      <c r="J516" s="8">
        <v>4.7142857142857144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17">
        <v>0</v>
      </c>
      <c r="T516" s="8">
        <v>7.1428571428571423</v>
      </c>
      <c r="U516" s="8">
        <v>0</v>
      </c>
      <c r="V516" s="8">
        <v>0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0</v>
      </c>
      <c r="AC516" s="8">
        <v>0</v>
      </c>
      <c r="AD516" s="14">
        <f t="shared" si="35"/>
        <v>99.999999999999986</v>
      </c>
      <c r="AE516" s="8">
        <v>0</v>
      </c>
      <c r="AF516" s="8">
        <v>0</v>
      </c>
      <c r="AG516" s="8">
        <v>0</v>
      </c>
      <c r="AH516" s="8">
        <v>0</v>
      </c>
      <c r="AI516" s="39" t="s">
        <v>1531</v>
      </c>
      <c r="AJ516" s="7">
        <v>360</v>
      </c>
      <c r="AK516" s="62">
        <v>1323</v>
      </c>
      <c r="AL516" s="158">
        <v>85</v>
      </c>
      <c r="AM516" s="85">
        <v>15</v>
      </c>
      <c r="AN516" s="85"/>
      <c r="AO516" s="85"/>
      <c r="AP516" s="85"/>
      <c r="AQ516" s="85"/>
      <c r="AR516" s="85"/>
      <c r="AS516" s="85"/>
      <c r="AT516" s="205"/>
      <c r="AU516" s="85">
        <v>0</v>
      </c>
      <c r="AV516" s="196">
        <f t="shared" si="39"/>
        <v>100</v>
      </c>
      <c r="AW516" s="85"/>
      <c r="AX516" s="85"/>
      <c r="AY516" s="39"/>
      <c r="AZ516" s="7"/>
      <c r="BA516" s="62"/>
      <c r="BB516" s="7"/>
      <c r="BC516" s="7"/>
      <c r="BD516" s="7"/>
      <c r="BE516" s="7"/>
      <c r="BF516" s="39"/>
      <c r="BG516" s="7"/>
      <c r="BH516" s="62"/>
      <c r="BI516" s="7"/>
      <c r="BJ516" s="32"/>
      <c r="BK516" s="256"/>
    </row>
    <row r="517" spans="1:63" ht="23.25" customHeight="1" thickBot="1" x14ac:dyDescent="0.25">
      <c r="A517" s="7">
        <v>516</v>
      </c>
      <c r="B517" s="221"/>
      <c r="C517" s="221"/>
      <c r="D517" s="223"/>
      <c r="E517" s="54" t="s">
        <v>249</v>
      </c>
      <c r="F517" s="16">
        <v>79.571428571428569</v>
      </c>
      <c r="G517" s="8">
        <v>7.1428571428571423</v>
      </c>
      <c r="H517" s="8">
        <v>0</v>
      </c>
      <c r="I517" s="8">
        <v>1.4285714285714286</v>
      </c>
      <c r="J517" s="8">
        <v>4.7142857142857144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17">
        <v>0</v>
      </c>
      <c r="T517" s="8">
        <v>7.1428571428571423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14">
        <f t="shared" si="35"/>
        <v>99.999999999999986</v>
      </c>
      <c r="AE517" s="8">
        <v>0</v>
      </c>
      <c r="AF517" s="8">
        <v>0</v>
      </c>
      <c r="AG517" s="8">
        <v>0</v>
      </c>
      <c r="AH517" s="8">
        <v>0</v>
      </c>
      <c r="AI517" s="39" t="s">
        <v>1531</v>
      </c>
      <c r="AJ517" s="7">
        <v>360</v>
      </c>
      <c r="AK517" s="62">
        <v>1323</v>
      </c>
      <c r="AL517" s="158">
        <v>74</v>
      </c>
      <c r="AM517" s="85">
        <v>26</v>
      </c>
      <c r="AN517" s="85"/>
      <c r="AO517" s="85"/>
      <c r="AP517" s="85"/>
      <c r="AQ517" s="85"/>
      <c r="AR517" s="85"/>
      <c r="AS517" s="85"/>
      <c r="AT517" s="205"/>
      <c r="AU517" s="85">
        <v>0</v>
      </c>
      <c r="AV517" s="196">
        <f t="shared" si="39"/>
        <v>100</v>
      </c>
      <c r="AW517" s="85"/>
      <c r="AX517" s="85"/>
      <c r="AY517" s="39"/>
      <c r="AZ517" s="7"/>
      <c r="BA517" s="62"/>
      <c r="BB517" s="7"/>
      <c r="BC517" s="7"/>
      <c r="BD517" s="7"/>
      <c r="BE517" s="7"/>
      <c r="BF517" s="39"/>
      <c r="BG517" s="7"/>
      <c r="BH517" s="62"/>
      <c r="BI517" s="7"/>
      <c r="BJ517" s="32"/>
      <c r="BK517" s="256"/>
    </row>
    <row r="518" spans="1:63" s="6" customFormat="1" ht="23.25" customHeight="1" thickBot="1" x14ac:dyDescent="0.25">
      <c r="A518" s="62">
        <v>517</v>
      </c>
      <c r="B518" s="222"/>
      <c r="C518" s="222"/>
      <c r="D518" s="224"/>
      <c r="E518" s="13" t="s">
        <v>242</v>
      </c>
      <c r="F518" s="80">
        <v>79.571428571428569</v>
      </c>
      <c r="G518" s="81">
        <v>6.4285714285714262</v>
      </c>
      <c r="H518" s="81">
        <v>0</v>
      </c>
      <c r="I518" s="81">
        <v>2.1428571428571423</v>
      </c>
      <c r="J518" s="81">
        <v>4.7142857142857135</v>
      </c>
      <c r="K518" s="81">
        <v>0</v>
      </c>
      <c r="L518" s="81">
        <v>0</v>
      </c>
      <c r="M518" s="81">
        <v>0</v>
      </c>
      <c r="N518" s="81">
        <v>0</v>
      </c>
      <c r="O518" s="81">
        <v>0</v>
      </c>
      <c r="P518" s="81">
        <v>0</v>
      </c>
      <c r="Q518" s="81">
        <v>0</v>
      </c>
      <c r="R518" s="81">
        <v>0</v>
      </c>
      <c r="S518" s="82">
        <v>0</v>
      </c>
      <c r="T518" s="81">
        <v>7.1428571428571423</v>
      </c>
      <c r="U518" s="81">
        <v>0</v>
      </c>
      <c r="V518" s="81">
        <v>0</v>
      </c>
      <c r="W518" s="81">
        <v>0</v>
      </c>
      <c r="X518" s="81">
        <v>0</v>
      </c>
      <c r="Y518" s="81">
        <v>0</v>
      </c>
      <c r="Z518" s="81">
        <v>0</v>
      </c>
      <c r="AA518" s="81">
        <v>0</v>
      </c>
      <c r="AB518" s="81">
        <v>0</v>
      </c>
      <c r="AC518" s="81">
        <v>0</v>
      </c>
      <c r="AD518" s="83">
        <f t="shared" si="35"/>
        <v>99.999999999999986</v>
      </c>
      <c r="AE518" s="81">
        <v>0</v>
      </c>
      <c r="AF518" s="81">
        <v>0</v>
      </c>
      <c r="AG518" s="81">
        <v>0</v>
      </c>
      <c r="AH518" s="81">
        <v>0</v>
      </c>
      <c r="AI518" s="79" t="s">
        <v>1531</v>
      </c>
      <c r="AJ518" s="65">
        <v>360</v>
      </c>
      <c r="AK518" s="78">
        <v>1323</v>
      </c>
      <c r="AL518" s="200">
        <v>68</v>
      </c>
      <c r="AM518" s="190">
        <v>32</v>
      </c>
      <c r="AN518" s="190"/>
      <c r="AO518" s="190"/>
      <c r="AP518" s="190"/>
      <c r="AQ518" s="190"/>
      <c r="AR518" s="190"/>
      <c r="AS518" s="190"/>
      <c r="AT518" s="201"/>
      <c r="AU518" s="190">
        <v>0</v>
      </c>
      <c r="AV518" s="202">
        <f t="shared" si="39"/>
        <v>100</v>
      </c>
      <c r="AW518" s="190"/>
      <c r="AX518" s="190"/>
      <c r="AY518" s="79"/>
      <c r="AZ518" s="65"/>
      <c r="BA518" s="78"/>
      <c r="BB518" s="65"/>
      <c r="BC518" s="65"/>
      <c r="BD518" s="65"/>
      <c r="BE518" s="65"/>
      <c r="BF518" s="79"/>
      <c r="BG518" s="65"/>
      <c r="BH518" s="78"/>
      <c r="BI518" s="65"/>
      <c r="BJ518" s="68"/>
      <c r="BK518" s="256"/>
    </row>
    <row r="519" spans="1:63" ht="23.25" customHeight="1" thickBot="1" x14ac:dyDescent="0.25">
      <c r="A519" s="7">
        <v>518</v>
      </c>
      <c r="B519" s="239">
        <v>467</v>
      </c>
      <c r="C519" s="239" t="s">
        <v>1829</v>
      </c>
      <c r="D519" s="249" t="s">
        <v>9</v>
      </c>
      <c r="E519" s="54" t="s">
        <v>319</v>
      </c>
      <c r="F519" s="16">
        <v>78.571428571428569</v>
      </c>
      <c r="G519" s="8">
        <v>14.285714285714285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17">
        <v>0</v>
      </c>
      <c r="T519" s="8">
        <v>7.1428571428571423</v>
      </c>
      <c r="U519" s="8">
        <v>0</v>
      </c>
      <c r="V519" s="8">
        <v>0</v>
      </c>
      <c r="W519" s="8">
        <v>0</v>
      </c>
      <c r="X519" s="8">
        <v>0</v>
      </c>
      <c r="Y519" s="8">
        <v>0</v>
      </c>
      <c r="Z519" s="8">
        <v>0</v>
      </c>
      <c r="AA519" s="8">
        <v>0</v>
      </c>
      <c r="AB519" s="8">
        <v>0</v>
      </c>
      <c r="AC519" s="8">
        <v>0</v>
      </c>
      <c r="AD519" s="14">
        <f t="shared" si="35"/>
        <v>100</v>
      </c>
      <c r="AE519" s="8">
        <v>0</v>
      </c>
      <c r="AF519" s="8">
        <v>0</v>
      </c>
      <c r="AG519" s="8">
        <v>0</v>
      </c>
      <c r="AH519" s="8">
        <v>0</v>
      </c>
      <c r="AI519" s="39" t="s">
        <v>1529</v>
      </c>
      <c r="AJ519" s="7"/>
      <c r="AK519" s="62"/>
      <c r="AL519" s="158"/>
      <c r="AM519" s="85"/>
      <c r="AN519" s="85"/>
      <c r="AO519" s="85"/>
      <c r="AP519" s="85"/>
      <c r="AQ519" s="85"/>
      <c r="AR519" s="85"/>
      <c r="AS519" s="85"/>
      <c r="AT519" s="205"/>
      <c r="AU519" s="85"/>
      <c r="AV519" s="196"/>
      <c r="AW519" s="85"/>
      <c r="AX519" s="85"/>
      <c r="AY519" s="39">
        <v>1.2</v>
      </c>
      <c r="AZ519" s="7">
        <v>246</v>
      </c>
      <c r="BA519" s="62"/>
      <c r="BB519" s="7">
        <v>1.2</v>
      </c>
      <c r="BC519" s="7">
        <v>1.46</v>
      </c>
      <c r="BD519" s="7">
        <v>52</v>
      </c>
      <c r="BE519" s="7"/>
      <c r="BF519" s="39"/>
      <c r="BG519" s="7"/>
      <c r="BH519" s="62"/>
      <c r="BI519" s="7"/>
      <c r="BJ519" s="32"/>
      <c r="BK519" s="256"/>
    </row>
    <row r="520" spans="1:63" ht="23.25" customHeight="1" thickBot="1" x14ac:dyDescent="0.25">
      <c r="A520" s="62">
        <v>519</v>
      </c>
      <c r="B520" s="239"/>
      <c r="C520" s="239"/>
      <c r="D520" s="250"/>
      <c r="E520" s="54" t="s">
        <v>467</v>
      </c>
      <c r="F520" s="16">
        <v>71.428571428571431</v>
      </c>
      <c r="G520" s="8">
        <v>21.428571428571427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17">
        <v>0</v>
      </c>
      <c r="T520" s="8">
        <v>7.1428571428571423</v>
      </c>
      <c r="U520" s="8">
        <v>0</v>
      </c>
      <c r="V520" s="8">
        <v>0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  <c r="AB520" s="8">
        <v>0</v>
      </c>
      <c r="AC520" s="8">
        <v>0</v>
      </c>
      <c r="AD520" s="14">
        <f t="shared" si="35"/>
        <v>100</v>
      </c>
      <c r="AE520" s="8">
        <v>0</v>
      </c>
      <c r="AF520" s="8">
        <v>0</v>
      </c>
      <c r="AG520" s="8">
        <v>0</v>
      </c>
      <c r="AH520" s="8">
        <v>0</v>
      </c>
      <c r="AI520" s="39" t="s">
        <v>1529</v>
      </c>
      <c r="AJ520" s="7"/>
      <c r="AK520" s="62"/>
      <c r="AL520" s="158"/>
      <c r="AM520" s="85"/>
      <c r="AN520" s="85"/>
      <c r="AO520" s="85"/>
      <c r="AP520" s="85"/>
      <c r="AQ520" s="85"/>
      <c r="AR520" s="85"/>
      <c r="AS520" s="85"/>
      <c r="AT520" s="205"/>
      <c r="AU520" s="85"/>
      <c r="AV520" s="196"/>
      <c r="AW520" s="85"/>
      <c r="AX520" s="85"/>
      <c r="AY520" s="39">
        <v>1.2</v>
      </c>
      <c r="AZ520" s="7">
        <v>230</v>
      </c>
      <c r="BA520" s="62"/>
      <c r="BB520" s="7"/>
      <c r="BC520" s="7"/>
      <c r="BD520" s="7"/>
      <c r="BE520" s="7"/>
      <c r="BF520" s="39"/>
      <c r="BG520" s="7"/>
      <c r="BH520" s="62"/>
      <c r="BI520" s="7"/>
      <c r="BJ520" s="32"/>
      <c r="BK520" s="256"/>
    </row>
    <row r="521" spans="1:63" ht="23.25" customHeight="1" thickBot="1" x14ac:dyDescent="0.25">
      <c r="A521" s="7">
        <v>520</v>
      </c>
      <c r="B521" s="239"/>
      <c r="C521" s="239"/>
      <c r="D521" s="223" t="s">
        <v>444</v>
      </c>
      <c r="E521" s="54" t="s">
        <v>302</v>
      </c>
      <c r="F521" s="16">
        <v>75</v>
      </c>
      <c r="G521" s="8">
        <v>10.714285714285714</v>
      </c>
      <c r="H521" s="8">
        <v>0</v>
      </c>
      <c r="I521" s="8">
        <v>0</v>
      </c>
      <c r="J521" s="8">
        <v>7.1428571428571423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17">
        <v>0</v>
      </c>
      <c r="T521" s="8">
        <v>7.1428571428571423</v>
      </c>
      <c r="U521" s="8">
        <v>0</v>
      </c>
      <c r="V521" s="8">
        <v>0</v>
      </c>
      <c r="W521" s="8">
        <v>0</v>
      </c>
      <c r="X521" s="8">
        <v>0</v>
      </c>
      <c r="Y521" s="8">
        <v>0</v>
      </c>
      <c r="Z521" s="8">
        <v>0</v>
      </c>
      <c r="AA521" s="8">
        <v>0</v>
      </c>
      <c r="AB521" s="8">
        <v>0</v>
      </c>
      <c r="AC521" s="8">
        <v>0</v>
      </c>
      <c r="AD521" s="14">
        <f t="shared" si="35"/>
        <v>99.999999999999986</v>
      </c>
      <c r="AE521" s="8">
        <v>0</v>
      </c>
      <c r="AF521" s="8">
        <v>0</v>
      </c>
      <c r="AG521" s="8">
        <v>0</v>
      </c>
      <c r="AH521" s="8">
        <v>0</v>
      </c>
      <c r="AI521" s="39" t="s">
        <v>1529</v>
      </c>
      <c r="AJ521" s="7"/>
      <c r="AK521" s="62"/>
      <c r="AL521" s="158"/>
      <c r="AM521" s="85"/>
      <c r="AN521" s="85"/>
      <c r="AO521" s="85"/>
      <c r="AP521" s="85"/>
      <c r="AQ521" s="85"/>
      <c r="AR521" s="85"/>
      <c r="AS521" s="85"/>
      <c r="AT521" s="205"/>
      <c r="AU521" s="85"/>
      <c r="AV521" s="196"/>
      <c r="AW521" s="85"/>
      <c r="AX521" s="85"/>
      <c r="AY521" s="39"/>
      <c r="AZ521" s="7">
        <v>297</v>
      </c>
      <c r="BA521" s="62"/>
      <c r="BB521" s="7">
        <v>1.2</v>
      </c>
      <c r="BC521" s="7">
        <v>0.8</v>
      </c>
      <c r="BD521" s="7">
        <v>52</v>
      </c>
      <c r="BE521" s="7"/>
      <c r="BF521" s="39"/>
      <c r="BG521" s="7"/>
      <c r="BH521" s="62"/>
      <c r="BI521" s="7"/>
      <c r="BJ521" s="32"/>
      <c r="BK521" s="256"/>
    </row>
    <row r="522" spans="1:63" ht="23.25" customHeight="1" thickBot="1" x14ac:dyDescent="0.25">
      <c r="A522" s="62">
        <v>521</v>
      </c>
      <c r="B522" s="239"/>
      <c r="C522" s="239"/>
      <c r="D522" s="223"/>
      <c r="E522" s="54" t="s">
        <v>442</v>
      </c>
      <c r="F522" s="16">
        <v>71.428571428571431</v>
      </c>
      <c r="G522" s="8">
        <v>10.714285714285714</v>
      </c>
      <c r="H522" s="8">
        <v>0</v>
      </c>
      <c r="I522" s="8">
        <v>0</v>
      </c>
      <c r="J522" s="8">
        <v>7.1428571428571423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17">
        <v>0</v>
      </c>
      <c r="T522" s="8">
        <v>10.714285714285714</v>
      </c>
      <c r="U522" s="8">
        <v>0</v>
      </c>
      <c r="V522" s="8">
        <v>0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  <c r="AD522" s="14">
        <f t="shared" si="35"/>
        <v>99.999999999999986</v>
      </c>
      <c r="AE522" s="8">
        <v>0</v>
      </c>
      <c r="AF522" s="8">
        <v>0</v>
      </c>
      <c r="AG522" s="8">
        <v>0</v>
      </c>
      <c r="AH522" s="8">
        <v>0</v>
      </c>
      <c r="AI522" s="39" t="s">
        <v>1529</v>
      </c>
      <c r="AJ522" s="7"/>
      <c r="AK522" s="62"/>
      <c r="AL522" s="158"/>
      <c r="AM522" s="85"/>
      <c r="AN522" s="85"/>
      <c r="AO522" s="85"/>
      <c r="AP522" s="85"/>
      <c r="AQ522" s="85"/>
      <c r="AR522" s="85"/>
      <c r="AS522" s="85"/>
      <c r="AT522" s="205"/>
      <c r="AU522" s="85"/>
      <c r="AV522" s="196"/>
      <c r="AW522" s="85"/>
      <c r="AX522" s="85"/>
      <c r="AY522" s="39"/>
      <c r="AZ522" s="7">
        <v>276</v>
      </c>
      <c r="BA522" s="62"/>
      <c r="BB522" s="7">
        <v>1.2</v>
      </c>
      <c r="BC522" s="7">
        <v>1.2</v>
      </c>
      <c r="BD522" s="7">
        <v>44</v>
      </c>
      <c r="BE522" s="7"/>
      <c r="BF522" s="39"/>
      <c r="BG522" s="7"/>
      <c r="BH522" s="62"/>
      <c r="BI522" s="7"/>
      <c r="BJ522" s="32"/>
      <c r="BK522" s="256"/>
    </row>
    <row r="523" spans="1:63" ht="23.25" customHeight="1" thickBot="1" x14ac:dyDescent="0.25">
      <c r="A523" s="7">
        <v>522</v>
      </c>
      <c r="B523" s="239"/>
      <c r="C523" s="239"/>
      <c r="D523" s="223"/>
      <c r="E523" s="54" t="s">
        <v>352</v>
      </c>
      <c r="F523" s="16">
        <v>67.857142857142861</v>
      </c>
      <c r="G523" s="8">
        <v>10.714285714285714</v>
      </c>
      <c r="H523" s="8">
        <v>0</v>
      </c>
      <c r="I523" s="8">
        <v>0</v>
      </c>
      <c r="J523" s="8">
        <v>7.1428571428571423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>
        <v>0</v>
      </c>
      <c r="S523" s="17">
        <v>0</v>
      </c>
      <c r="T523" s="8">
        <v>14.285714285714285</v>
      </c>
      <c r="U523" s="8">
        <v>0</v>
      </c>
      <c r="V523" s="8">
        <v>0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  <c r="AD523" s="14">
        <f t="shared" si="35"/>
        <v>100</v>
      </c>
      <c r="AE523" s="8">
        <v>0</v>
      </c>
      <c r="AF523" s="8">
        <v>0</v>
      </c>
      <c r="AG523" s="8">
        <v>0</v>
      </c>
      <c r="AH523" s="8">
        <v>0</v>
      </c>
      <c r="AI523" s="39" t="s">
        <v>1529</v>
      </c>
      <c r="AJ523" s="7"/>
      <c r="AK523" s="62"/>
      <c r="AL523" s="158"/>
      <c r="AM523" s="85"/>
      <c r="AN523" s="85"/>
      <c r="AO523" s="85"/>
      <c r="AP523" s="85"/>
      <c r="AQ523" s="85"/>
      <c r="AR523" s="85"/>
      <c r="AS523" s="85"/>
      <c r="AT523" s="205"/>
      <c r="AU523" s="85"/>
      <c r="AV523" s="196"/>
      <c r="AW523" s="85"/>
      <c r="AX523" s="85"/>
      <c r="AY523" s="39"/>
      <c r="AZ523" s="7">
        <v>273</v>
      </c>
      <c r="BA523" s="62"/>
      <c r="BB523" s="7">
        <v>1.2</v>
      </c>
      <c r="BC523" s="7">
        <v>0.43</v>
      </c>
      <c r="BD523" s="7">
        <v>56</v>
      </c>
      <c r="BE523" s="7"/>
      <c r="BF523" s="39"/>
      <c r="BG523" s="7"/>
      <c r="BH523" s="62"/>
      <c r="BI523" s="7"/>
      <c r="BJ523" s="32"/>
      <c r="BK523" s="256"/>
    </row>
    <row r="524" spans="1:63" ht="23.25" customHeight="1" thickBot="1" x14ac:dyDescent="0.25">
      <c r="A524" s="62">
        <v>523</v>
      </c>
      <c r="B524" s="239"/>
      <c r="C524" s="239"/>
      <c r="D524" s="223" t="s">
        <v>445</v>
      </c>
      <c r="E524" s="54" t="s">
        <v>314</v>
      </c>
      <c r="F524" s="16">
        <v>75.714285714285708</v>
      </c>
      <c r="G524" s="8">
        <v>14.285714285714285</v>
      </c>
      <c r="H524" s="8">
        <v>0</v>
      </c>
      <c r="I524" s="8">
        <v>0</v>
      </c>
      <c r="J524" s="8">
        <v>2.8571428571428572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17">
        <v>0</v>
      </c>
      <c r="T524" s="8">
        <v>7.1428571428571423</v>
      </c>
      <c r="U524" s="8">
        <v>0</v>
      </c>
      <c r="V524" s="8">
        <v>0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>
        <v>0</v>
      </c>
      <c r="AC524" s="8">
        <v>0</v>
      </c>
      <c r="AD524" s="14">
        <f t="shared" ref="AD524:AD578" si="40">SUM(F524:AC524)</f>
        <v>100</v>
      </c>
      <c r="AE524" s="8">
        <v>0</v>
      </c>
      <c r="AF524" s="8">
        <v>0</v>
      </c>
      <c r="AG524" s="8">
        <v>0</v>
      </c>
      <c r="AH524" s="8">
        <v>0</v>
      </c>
      <c r="AI524" s="39" t="s">
        <v>1529</v>
      </c>
      <c r="AJ524" s="7"/>
      <c r="AK524" s="62"/>
      <c r="AL524" s="158"/>
      <c r="AM524" s="85"/>
      <c r="AN524" s="85"/>
      <c r="AO524" s="85"/>
      <c r="AP524" s="85"/>
      <c r="AQ524" s="85"/>
      <c r="AR524" s="85"/>
      <c r="AS524" s="85"/>
      <c r="AT524" s="205"/>
      <c r="AU524" s="85"/>
      <c r="AV524" s="196"/>
      <c r="AW524" s="85"/>
      <c r="AX524" s="85"/>
      <c r="AY524" s="39"/>
      <c r="AZ524" s="7">
        <v>266</v>
      </c>
      <c r="BA524" s="62"/>
      <c r="BB524" s="7"/>
      <c r="BC524" s="7"/>
      <c r="BD524" s="7"/>
      <c r="BE524" s="7"/>
      <c r="BF524" s="39"/>
      <c r="BG524" s="7"/>
      <c r="BH524" s="62"/>
      <c r="BI524" s="7"/>
      <c r="BJ524" s="32"/>
      <c r="BK524" s="256"/>
    </row>
    <row r="525" spans="1:63" ht="23.25" customHeight="1" thickBot="1" x14ac:dyDescent="0.25">
      <c r="A525" s="7">
        <v>524</v>
      </c>
      <c r="B525" s="239"/>
      <c r="C525" s="239"/>
      <c r="D525" s="223"/>
      <c r="E525" s="54" t="s">
        <v>372</v>
      </c>
      <c r="F525" s="16">
        <v>74.285714285714292</v>
      </c>
      <c r="G525" s="8">
        <v>14.285714285714285</v>
      </c>
      <c r="H525" s="8">
        <v>0</v>
      </c>
      <c r="I525" s="8">
        <v>0</v>
      </c>
      <c r="J525" s="8">
        <v>4.2857142857142856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17">
        <v>0</v>
      </c>
      <c r="T525" s="8">
        <v>7.1428571428571423</v>
      </c>
      <c r="U525" s="8">
        <v>0</v>
      </c>
      <c r="V525" s="8">
        <v>0</v>
      </c>
      <c r="W525" s="8">
        <v>0</v>
      </c>
      <c r="X525" s="8">
        <v>0</v>
      </c>
      <c r="Y525" s="8">
        <v>0</v>
      </c>
      <c r="Z525" s="8">
        <v>0</v>
      </c>
      <c r="AA525" s="8">
        <v>0</v>
      </c>
      <c r="AB525" s="8">
        <v>0</v>
      </c>
      <c r="AC525" s="8">
        <v>0</v>
      </c>
      <c r="AD525" s="14">
        <f t="shared" si="40"/>
        <v>100.00000000000001</v>
      </c>
      <c r="AE525" s="8">
        <v>0</v>
      </c>
      <c r="AF525" s="8">
        <v>0</v>
      </c>
      <c r="AG525" s="8">
        <v>0</v>
      </c>
      <c r="AH525" s="8">
        <v>0</v>
      </c>
      <c r="AI525" s="39" t="s">
        <v>1529</v>
      </c>
      <c r="AJ525" s="7"/>
      <c r="AK525" s="62"/>
      <c r="AL525" s="158"/>
      <c r="AM525" s="85"/>
      <c r="AN525" s="85"/>
      <c r="AO525" s="85"/>
      <c r="AP525" s="85"/>
      <c r="AQ525" s="85"/>
      <c r="AR525" s="85"/>
      <c r="AS525" s="85"/>
      <c r="AT525" s="205"/>
      <c r="AU525" s="85"/>
      <c r="AV525" s="196"/>
      <c r="AW525" s="85"/>
      <c r="AX525" s="85"/>
      <c r="AY525" s="39"/>
      <c r="AZ525" s="7">
        <v>270</v>
      </c>
      <c r="BA525" s="62"/>
      <c r="BB525" s="7"/>
      <c r="BC525" s="7"/>
      <c r="BD525" s="7"/>
      <c r="BE525" s="7"/>
      <c r="BF525" s="39"/>
      <c r="BG525" s="7"/>
      <c r="BH525" s="62"/>
      <c r="BI525" s="7"/>
      <c r="BJ525" s="32"/>
      <c r="BK525" s="256"/>
    </row>
    <row r="526" spans="1:63" ht="23.25" customHeight="1" thickBot="1" x14ac:dyDescent="0.25">
      <c r="A526" s="62">
        <v>525</v>
      </c>
      <c r="B526" s="239"/>
      <c r="C526" s="239"/>
      <c r="D526" s="223"/>
      <c r="E526" s="54" t="s">
        <v>443</v>
      </c>
      <c r="F526" s="16">
        <v>72.857142857142847</v>
      </c>
      <c r="G526" s="8">
        <v>14.285714285714285</v>
      </c>
      <c r="H526" s="8">
        <v>0</v>
      </c>
      <c r="I526" s="8">
        <v>0</v>
      </c>
      <c r="J526" s="8">
        <v>5.7142857142857144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17">
        <v>0</v>
      </c>
      <c r="T526" s="8">
        <v>7.1428571428571423</v>
      </c>
      <c r="U526" s="8">
        <v>0</v>
      </c>
      <c r="V526" s="8">
        <v>0</v>
      </c>
      <c r="W526" s="8">
        <v>0</v>
      </c>
      <c r="X526" s="8">
        <v>0</v>
      </c>
      <c r="Y526" s="8">
        <v>0</v>
      </c>
      <c r="Z526" s="8">
        <v>0</v>
      </c>
      <c r="AA526" s="8">
        <v>0</v>
      </c>
      <c r="AB526" s="8">
        <v>0</v>
      </c>
      <c r="AC526" s="8">
        <v>0</v>
      </c>
      <c r="AD526" s="14">
        <f t="shared" si="40"/>
        <v>99.999999999999986</v>
      </c>
      <c r="AE526" s="8">
        <v>0</v>
      </c>
      <c r="AF526" s="8">
        <v>0</v>
      </c>
      <c r="AG526" s="8">
        <v>0</v>
      </c>
      <c r="AH526" s="8">
        <v>0</v>
      </c>
      <c r="AI526" s="39" t="s">
        <v>1529</v>
      </c>
      <c r="AJ526" s="7"/>
      <c r="AK526" s="62"/>
      <c r="AL526" s="158"/>
      <c r="AM526" s="85"/>
      <c r="AN526" s="85"/>
      <c r="AO526" s="85"/>
      <c r="AP526" s="85"/>
      <c r="AQ526" s="85"/>
      <c r="AR526" s="85"/>
      <c r="AS526" s="85"/>
      <c r="AT526" s="205"/>
      <c r="AU526" s="85"/>
      <c r="AV526" s="196"/>
      <c r="AW526" s="85"/>
      <c r="AX526" s="85"/>
      <c r="AY526" s="39"/>
      <c r="AZ526" s="7">
        <v>290</v>
      </c>
      <c r="BA526" s="62"/>
      <c r="BB526" s="7">
        <v>1.2</v>
      </c>
      <c r="BC526" s="7">
        <v>1.51</v>
      </c>
      <c r="BD526" s="7">
        <v>53</v>
      </c>
      <c r="BE526" s="7"/>
      <c r="BF526" s="39"/>
      <c r="BG526" s="7"/>
      <c r="BH526" s="62"/>
      <c r="BI526" s="7"/>
      <c r="BJ526" s="32"/>
      <c r="BK526" s="256"/>
    </row>
    <row r="527" spans="1:63" ht="23.25" customHeight="1" thickBot="1" x14ac:dyDescent="0.25">
      <c r="A527" s="7">
        <v>526</v>
      </c>
      <c r="B527" s="240"/>
      <c r="C527" s="240"/>
      <c r="D527" s="224"/>
      <c r="E527" s="54" t="s">
        <v>373</v>
      </c>
      <c r="F527" s="16">
        <v>72.142857142857139</v>
      </c>
      <c r="G527" s="8">
        <v>14.285714285714285</v>
      </c>
      <c r="H527" s="8">
        <v>0</v>
      </c>
      <c r="I527" s="8">
        <v>0</v>
      </c>
      <c r="J527" s="8">
        <v>6.4285714285714297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17">
        <v>0</v>
      </c>
      <c r="T527" s="8">
        <v>7.1428571428571423</v>
      </c>
      <c r="U527" s="8">
        <v>0</v>
      </c>
      <c r="V527" s="8">
        <v>0</v>
      </c>
      <c r="W527" s="8">
        <v>0</v>
      </c>
      <c r="X527" s="8">
        <v>0</v>
      </c>
      <c r="Y527" s="8">
        <v>0</v>
      </c>
      <c r="Z527" s="8">
        <v>0</v>
      </c>
      <c r="AA527" s="8">
        <v>0</v>
      </c>
      <c r="AB527" s="8">
        <v>0</v>
      </c>
      <c r="AC527" s="8">
        <v>0</v>
      </c>
      <c r="AD527" s="14">
        <f t="shared" si="40"/>
        <v>99.999999999999986</v>
      </c>
      <c r="AE527" s="8">
        <v>0</v>
      </c>
      <c r="AF527" s="8">
        <v>0</v>
      </c>
      <c r="AG527" s="8">
        <v>0</v>
      </c>
      <c r="AH527" s="8">
        <v>0</v>
      </c>
      <c r="AI527" s="39" t="s">
        <v>1529</v>
      </c>
      <c r="AJ527" s="7"/>
      <c r="AK527" s="62"/>
      <c r="AL527" s="158"/>
      <c r="AM527" s="85"/>
      <c r="AN527" s="85"/>
      <c r="AO527" s="85"/>
      <c r="AP527" s="85"/>
      <c r="AQ527" s="85"/>
      <c r="AR527" s="85"/>
      <c r="AS527" s="85"/>
      <c r="AT527" s="205"/>
      <c r="AU527" s="85"/>
      <c r="AV527" s="196"/>
      <c r="AW527" s="85"/>
      <c r="AX527" s="85"/>
      <c r="AY527" s="39"/>
      <c r="AZ527" s="7">
        <v>301</v>
      </c>
      <c r="BA527" s="62"/>
      <c r="BB527" s="7">
        <v>1.2</v>
      </c>
      <c r="BC527" s="7">
        <v>1.53</v>
      </c>
      <c r="BD527" s="7">
        <v>56</v>
      </c>
      <c r="BE527" s="7"/>
      <c r="BF527" s="39"/>
      <c r="BG527" s="7"/>
      <c r="BH527" s="62"/>
      <c r="BI527" s="7"/>
      <c r="BJ527" s="32"/>
      <c r="BK527" s="256"/>
    </row>
    <row r="528" spans="1:63" s="4" customFormat="1" ht="23.25" customHeight="1" thickBot="1" x14ac:dyDescent="0.25">
      <c r="A528" s="62">
        <v>527</v>
      </c>
      <c r="B528" s="238">
        <v>592</v>
      </c>
      <c r="C528" s="238" t="s">
        <v>1803</v>
      </c>
      <c r="D528" s="12" t="s">
        <v>10</v>
      </c>
      <c r="E528" s="12"/>
      <c r="F528" s="87">
        <v>82.142857142857139</v>
      </c>
      <c r="G528" s="88">
        <v>10.714285714285714</v>
      </c>
      <c r="H528" s="88">
        <v>0</v>
      </c>
      <c r="I528" s="88">
        <v>0</v>
      </c>
      <c r="J528" s="88">
        <v>0</v>
      </c>
      <c r="K528" s="88">
        <v>0</v>
      </c>
      <c r="L528" s="88">
        <v>0</v>
      </c>
      <c r="M528" s="88">
        <v>0</v>
      </c>
      <c r="N528" s="88">
        <v>0</v>
      </c>
      <c r="O528" s="88">
        <v>0</v>
      </c>
      <c r="P528" s="88">
        <v>0</v>
      </c>
      <c r="Q528" s="88">
        <v>0</v>
      </c>
      <c r="R528" s="88">
        <v>0</v>
      </c>
      <c r="S528" s="89">
        <v>0</v>
      </c>
      <c r="T528" s="88">
        <v>7.1428571428571423</v>
      </c>
      <c r="U528" s="88">
        <v>0</v>
      </c>
      <c r="V528" s="88">
        <v>0</v>
      </c>
      <c r="W528" s="88">
        <v>0</v>
      </c>
      <c r="X528" s="88">
        <v>0</v>
      </c>
      <c r="Y528" s="88">
        <v>0</v>
      </c>
      <c r="Z528" s="88">
        <v>0</v>
      </c>
      <c r="AA528" s="88">
        <v>0</v>
      </c>
      <c r="AB528" s="88">
        <v>0</v>
      </c>
      <c r="AC528" s="88">
        <v>0</v>
      </c>
      <c r="AD528" s="90">
        <f t="shared" si="40"/>
        <v>99.999999999999986</v>
      </c>
      <c r="AE528" s="88">
        <v>0</v>
      </c>
      <c r="AF528" s="88">
        <v>0</v>
      </c>
      <c r="AG528" s="88">
        <v>0</v>
      </c>
      <c r="AH528" s="88">
        <v>0</v>
      </c>
      <c r="AI528" s="156" t="s">
        <v>1531</v>
      </c>
      <c r="AJ528" s="45">
        <v>960</v>
      </c>
      <c r="AK528" s="91">
        <v>1373</v>
      </c>
      <c r="AL528" s="197"/>
      <c r="AM528" s="189"/>
      <c r="AN528" s="189"/>
      <c r="AO528" s="189"/>
      <c r="AP528" s="189"/>
      <c r="AQ528" s="189"/>
      <c r="AR528" s="189"/>
      <c r="AS528" s="189"/>
      <c r="AT528" s="198"/>
      <c r="AU528" s="189"/>
      <c r="AV528" s="199"/>
      <c r="AW528" s="189"/>
      <c r="AX528" s="189"/>
      <c r="AY528" s="156">
        <v>0.01</v>
      </c>
      <c r="AZ528" s="45">
        <v>194</v>
      </c>
      <c r="BA528" s="91">
        <v>1.2</v>
      </c>
      <c r="BB528" s="45" t="s">
        <v>524</v>
      </c>
      <c r="BC528" s="45" t="s">
        <v>889</v>
      </c>
      <c r="BD528" s="45"/>
      <c r="BE528" s="45"/>
      <c r="BF528" s="156"/>
      <c r="BG528" s="45"/>
      <c r="BH528" s="91"/>
      <c r="BI528" s="45"/>
      <c r="BJ528" s="67"/>
      <c r="BK528" s="256" t="s">
        <v>1897</v>
      </c>
    </row>
    <row r="529" spans="1:63" ht="23.25" customHeight="1" thickBot="1" x14ac:dyDescent="0.25">
      <c r="A529" s="7">
        <v>528</v>
      </c>
      <c r="B529" s="221"/>
      <c r="C529" s="221"/>
      <c r="D529" s="54" t="s">
        <v>11</v>
      </c>
      <c r="E529" s="54"/>
      <c r="F529" s="16">
        <v>80</v>
      </c>
      <c r="G529" s="8">
        <v>12.857142857142859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17">
        <v>0</v>
      </c>
      <c r="T529" s="8">
        <v>7.1428571428571423</v>
      </c>
      <c r="U529" s="8">
        <v>0</v>
      </c>
      <c r="V529" s="8">
        <v>0</v>
      </c>
      <c r="W529" s="8">
        <v>0</v>
      </c>
      <c r="X529" s="8">
        <v>0</v>
      </c>
      <c r="Y529" s="8">
        <v>0</v>
      </c>
      <c r="Z529" s="8">
        <v>0</v>
      </c>
      <c r="AA529" s="8">
        <v>0</v>
      </c>
      <c r="AB529" s="8">
        <v>0</v>
      </c>
      <c r="AC529" s="8">
        <v>0</v>
      </c>
      <c r="AD529" s="14">
        <f t="shared" si="40"/>
        <v>100</v>
      </c>
      <c r="AE529" s="8">
        <v>0</v>
      </c>
      <c r="AF529" s="8">
        <v>0</v>
      </c>
      <c r="AG529" s="8">
        <v>0</v>
      </c>
      <c r="AH529" s="8">
        <v>0</v>
      </c>
      <c r="AI529" s="39" t="s">
        <v>1531</v>
      </c>
      <c r="AJ529" s="7">
        <v>960</v>
      </c>
      <c r="AK529" s="62">
        <v>1373</v>
      </c>
      <c r="AL529" s="158"/>
      <c r="AM529" s="85"/>
      <c r="AN529" s="85"/>
      <c r="AO529" s="85"/>
      <c r="AP529" s="85"/>
      <c r="AQ529" s="85"/>
      <c r="AR529" s="85"/>
      <c r="AS529" s="85"/>
      <c r="AT529" s="205"/>
      <c r="AU529" s="85"/>
      <c r="AV529" s="196"/>
      <c r="AW529" s="85"/>
      <c r="AX529" s="85"/>
      <c r="AY529" s="39">
        <v>0.01</v>
      </c>
      <c r="AZ529" s="7">
        <v>216</v>
      </c>
      <c r="BA529" s="62">
        <v>0</v>
      </c>
      <c r="BB529" s="7" t="s">
        <v>524</v>
      </c>
      <c r="BC529" s="7" t="s">
        <v>890</v>
      </c>
      <c r="BD529" s="7"/>
      <c r="BE529" s="7"/>
      <c r="BF529" s="39"/>
      <c r="BG529" s="7"/>
      <c r="BH529" s="62"/>
      <c r="BI529" s="7"/>
      <c r="BJ529" s="32"/>
      <c r="BK529" s="256"/>
    </row>
    <row r="530" spans="1:63" ht="23.25" customHeight="1" thickBot="1" x14ac:dyDescent="0.25">
      <c r="A530" s="62">
        <v>529</v>
      </c>
      <c r="B530" s="221"/>
      <c r="C530" s="221"/>
      <c r="D530" s="54" t="s">
        <v>160</v>
      </c>
      <c r="E530" s="54"/>
      <c r="F530" s="16">
        <v>82.142857142857139</v>
      </c>
      <c r="G530" s="8">
        <v>10.714285714285714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17">
        <v>0</v>
      </c>
      <c r="T530" s="8">
        <v>5</v>
      </c>
      <c r="U530" s="8">
        <v>2.1428571428571428</v>
      </c>
      <c r="V530" s="8">
        <v>0</v>
      </c>
      <c r="W530" s="8">
        <v>0</v>
      </c>
      <c r="X530" s="8">
        <v>0</v>
      </c>
      <c r="Y530" s="8">
        <v>0</v>
      </c>
      <c r="Z530" s="8">
        <v>0</v>
      </c>
      <c r="AA530" s="8">
        <v>0</v>
      </c>
      <c r="AB530" s="8">
        <v>0</v>
      </c>
      <c r="AC530" s="8">
        <v>0</v>
      </c>
      <c r="AD530" s="14">
        <f t="shared" si="40"/>
        <v>99.999999999999986</v>
      </c>
      <c r="AE530" s="8">
        <v>0</v>
      </c>
      <c r="AF530" s="8">
        <v>0</v>
      </c>
      <c r="AG530" s="8">
        <v>0</v>
      </c>
      <c r="AH530" s="8">
        <v>0</v>
      </c>
      <c r="AI530" s="39" t="s">
        <v>1531</v>
      </c>
      <c r="AJ530" s="7">
        <v>960</v>
      </c>
      <c r="AK530" s="62">
        <v>1373</v>
      </c>
      <c r="AL530" s="158"/>
      <c r="AM530" s="85"/>
      <c r="AN530" s="85"/>
      <c r="AO530" s="85"/>
      <c r="AP530" s="85"/>
      <c r="AQ530" s="85"/>
      <c r="AR530" s="85"/>
      <c r="AS530" s="85"/>
      <c r="AT530" s="205"/>
      <c r="AU530" s="85"/>
      <c r="AV530" s="196"/>
      <c r="AW530" s="85"/>
      <c r="AX530" s="85"/>
      <c r="AY530" s="39">
        <v>0.01</v>
      </c>
      <c r="AZ530" s="7">
        <v>188</v>
      </c>
      <c r="BA530" s="62">
        <v>3.3</v>
      </c>
      <c r="BB530" s="7" t="s">
        <v>524</v>
      </c>
      <c r="BC530" s="7" t="s">
        <v>891</v>
      </c>
      <c r="BD530" s="7"/>
      <c r="BE530" s="7"/>
      <c r="BF530" s="39"/>
      <c r="BG530" s="7"/>
      <c r="BH530" s="62"/>
      <c r="BI530" s="7"/>
      <c r="BJ530" s="32"/>
      <c r="BK530" s="256"/>
    </row>
    <row r="531" spans="1:63" ht="23.25" customHeight="1" thickBot="1" x14ac:dyDescent="0.25">
      <c r="A531" s="7">
        <v>530</v>
      </c>
      <c r="B531" s="221"/>
      <c r="C531" s="221"/>
      <c r="D531" s="54" t="s">
        <v>453</v>
      </c>
      <c r="E531" s="54"/>
      <c r="F531" s="16">
        <v>80</v>
      </c>
      <c r="G531" s="8">
        <v>12.857142857142859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>
        <v>0</v>
      </c>
      <c r="S531" s="17">
        <v>0</v>
      </c>
      <c r="T531" s="8">
        <v>5</v>
      </c>
      <c r="U531" s="8">
        <v>2.1428571428571428</v>
      </c>
      <c r="V531" s="8">
        <v>0</v>
      </c>
      <c r="W531" s="8">
        <v>0</v>
      </c>
      <c r="X531" s="8">
        <v>0</v>
      </c>
      <c r="Y531" s="8">
        <v>0</v>
      </c>
      <c r="Z531" s="8">
        <v>0</v>
      </c>
      <c r="AA531" s="8">
        <v>0</v>
      </c>
      <c r="AB531" s="8">
        <v>0</v>
      </c>
      <c r="AC531" s="8">
        <v>0</v>
      </c>
      <c r="AD531" s="14">
        <f t="shared" si="40"/>
        <v>100</v>
      </c>
      <c r="AE531" s="8">
        <v>0</v>
      </c>
      <c r="AF531" s="8">
        <v>0</v>
      </c>
      <c r="AG531" s="8">
        <v>0</v>
      </c>
      <c r="AH531" s="8">
        <v>0</v>
      </c>
      <c r="AI531" s="39" t="s">
        <v>1531</v>
      </c>
      <c r="AJ531" s="7">
        <v>960</v>
      </c>
      <c r="AK531" s="62">
        <v>1373</v>
      </c>
      <c r="AL531" s="158"/>
      <c r="AM531" s="85"/>
      <c r="AN531" s="85"/>
      <c r="AO531" s="85"/>
      <c r="AP531" s="85"/>
      <c r="AQ531" s="85"/>
      <c r="AR531" s="85"/>
      <c r="AS531" s="85"/>
      <c r="AT531" s="205"/>
      <c r="AU531" s="85"/>
      <c r="AV531" s="196"/>
      <c r="AW531" s="85"/>
      <c r="AX531" s="85"/>
      <c r="AY531" s="39">
        <v>0.01</v>
      </c>
      <c r="AZ531" s="7">
        <v>207</v>
      </c>
      <c r="BA531" s="62">
        <v>0</v>
      </c>
      <c r="BB531" s="7" t="s">
        <v>1238</v>
      </c>
      <c r="BC531" s="7" t="s">
        <v>1500</v>
      </c>
      <c r="BD531" s="7" t="s">
        <v>892</v>
      </c>
      <c r="BE531" s="7" t="s">
        <v>1501</v>
      </c>
      <c r="BF531" s="39"/>
      <c r="BG531" s="7"/>
      <c r="BH531" s="62"/>
      <c r="BI531" s="7"/>
      <c r="BJ531" s="32"/>
      <c r="BK531" s="256"/>
    </row>
    <row r="532" spans="1:63" s="6" customFormat="1" ht="23.25" customHeight="1" thickBot="1" x14ac:dyDescent="0.25">
      <c r="A532" s="62">
        <v>531</v>
      </c>
      <c r="B532" s="222"/>
      <c r="C532" s="222"/>
      <c r="D532" s="13" t="s">
        <v>85</v>
      </c>
      <c r="E532" s="13"/>
      <c r="F532" s="80">
        <v>76.428571428571416</v>
      </c>
      <c r="G532" s="81">
        <v>10.714285714285714</v>
      </c>
      <c r="H532" s="81">
        <v>0</v>
      </c>
      <c r="I532" s="81">
        <v>0</v>
      </c>
      <c r="J532" s="81">
        <v>5.7142857142857144</v>
      </c>
      <c r="K532" s="81">
        <v>0</v>
      </c>
      <c r="L532" s="81">
        <v>0</v>
      </c>
      <c r="M532" s="81">
        <v>0</v>
      </c>
      <c r="N532" s="81">
        <v>0</v>
      </c>
      <c r="O532" s="81">
        <v>0</v>
      </c>
      <c r="P532" s="81">
        <v>0</v>
      </c>
      <c r="Q532" s="81">
        <v>0</v>
      </c>
      <c r="R532" s="81">
        <v>0</v>
      </c>
      <c r="S532" s="82">
        <v>0</v>
      </c>
      <c r="T532" s="81">
        <v>5</v>
      </c>
      <c r="U532" s="81">
        <v>2.1428571428571428</v>
      </c>
      <c r="V532" s="81">
        <v>0</v>
      </c>
      <c r="W532" s="81">
        <v>0</v>
      </c>
      <c r="X532" s="81">
        <v>0</v>
      </c>
      <c r="Y532" s="81">
        <v>0</v>
      </c>
      <c r="Z532" s="81">
        <v>0</v>
      </c>
      <c r="AA532" s="81">
        <v>0</v>
      </c>
      <c r="AB532" s="81">
        <v>0</v>
      </c>
      <c r="AC532" s="81">
        <v>0</v>
      </c>
      <c r="AD532" s="83">
        <f t="shared" si="40"/>
        <v>99.999999999999972</v>
      </c>
      <c r="AE532" s="81">
        <v>0</v>
      </c>
      <c r="AF532" s="81">
        <v>0</v>
      </c>
      <c r="AG532" s="81">
        <v>0</v>
      </c>
      <c r="AH532" s="81">
        <v>0</v>
      </c>
      <c r="AI532" s="79" t="s">
        <v>1531</v>
      </c>
      <c r="AJ532" s="65">
        <v>960</v>
      </c>
      <c r="AK532" s="78">
        <v>1373</v>
      </c>
      <c r="AL532" s="200"/>
      <c r="AM532" s="190"/>
      <c r="AN532" s="190"/>
      <c r="AO532" s="190"/>
      <c r="AP532" s="190"/>
      <c r="AQ532" s="190"/>
      <c r="AR532" s="190"/>
      <c r="AS532" s="190"/>
      <c r="AT532" s="201"/>
      <c r="AU532" s="190"/>
      <c r="AV532" s="202"/>
      <c r="AW532" s="190"/>
      <c r="AX532" s="190"/>
      <c r="AY532" s="79">
        <v>0.01</v>
      </c>
      <c r="AZ532" s="65">
        <v>280</v>
      </c>
      <c r="BA532" s="78">
        <v>0</v>
      </c>
      <c r="BB532" s="65" t="s">
        <v>1238</v>
      </c>
      <c r="BC532" s="65" t="s">
        <v>1502</v>
      </c>
      <c r="BD532" s="65" t="s">
        <v>893</v>
      </c>
      <c r="BE532" s="65" t="s">
        <v>1503</v>
      </c>
      <c r="BF532" s="79"/>
      <c r="BG532" s="65"/>
      <c r="BH532" s="78"/>
      <c r="BI532" s="65"/>
      <c r="BJ532" s="68"/>
      <c r="BK532" s="256"/>
    </row>
    <row r="533" spans="1:63" ht="23.25" customHeight="1" thickBot="1" x14ac:dyDescent="0.25">
      <c r="A533" s="7">
        <v>532</v>
      </c>
      <c r="B533" s="238">
        <v>109</v>
      </c>
      <c r="C533" s="238" t="s">
        <v>1826</v>
      </c>
      <c r="D533" s="225" t="s">
        <v>10</v>
      </c>
      <c r="E533" s="54"/>
      <c r="F533" s="16">
        <v>82.142857142857139</v>
      </c>
      <c r="G533" s="8">
        <v>10.714285714285714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17">
        <v>0</v>
      </c>
      <c r="T533" s="8">
        <v>7.1428571428571423</v>
      </c>
      <c r="U533" s="8">
        <v>0</v>
      </c>
      <c r="V533" s="8">
        <v>0</v>
      </c>
      <c r="W533" s="8">
        <v>0</v>
      </c>
      <c r="X533" s="8">
        <v>0</v>
      </c>
      <c r="Y533" s="8">
        <v>0</v>
      </c>
      <c r="Z533" s="8">
        <v>0</v>
      </c>
      <c r="AA533" s="8">
        <v>0</v>
      </c>
      <c r="AB533" s="8">
        <v>0</v>
      </c>
      <c r="AC533" s="8">
        <v>0</v>
      </c>
      <c r="AD533" s="14">
        <f t="shared" si="40"/>
        <v>99.999999999999986</v>
      </c>
      <c r="AE533" s="8">
        <v>0</v>
      </c>
      <c r="AF533" s="8">
        <v>0</v>
      </c>
      <c r="AG533" s="8">
        <v>0</v>
      </c>
      <c r="AH533" s="8">
        <v>0</v>
      </c>
      <c r="AI533" s="39" t="s">
        <v>1529</v>
      </c>
      <c r="AJ533" s="7">
        <v>3.3000000000000002E-2</v>
      </c>
      <c r="AK533" s="62">
        <v>1273</v>
      </c>
      <c r="AL533" s="158"/>
      <c r="AM533" s="85"/>
      <c r="AN533" s="85"/>
      <c r="AO533" s="85"/>
      <c r="AP533" s="85"/>
      <c r="AQ533" s="85"/>
      <c r="AR533" s="85"/>
      <c r="AS533" s="85"/>
      <c r="AT533" s="205"/>
      <c r="AU533" s="85"/>
      <c r="AV533" s="196"/>
      <c r="AW533" s="85"/>
      <c r="AX533" s="85"/>
      <c r="AY533" s="39">
        <v>0.01</v>
      </c>
      <c r="AZ533" s="7">
        <v>189</v>
      </c>
      <c r="BA533" s="62"/>
      <c r="BB533" s="7">
        <v>1.5</v>
      </c>
      <c r="BC533" s="7">
        <v>12</v>
      </c>
      <c r="BD533" s="7">
        <v>188.9</v>
      </c>
      <c r="BE533" s="7">
        <v>8.75</v>
      </c>
      <c r="BF533" s="39"/>
      <c r="BG533" s="7"/>
      <c r="BH533" s="62"/>
      <c r="BI533" s="7"/>
      <c r="BJ533" s="32"/>
      <c r="BK533" s="256"/>
    </row>
    <row r="534" spans="1:63" ht="23.25" customHeight="1" thickBot="1" x14ac:dyDescent="0.25">
      <c r="A534" s="62">
        <v>533</v>
      </c>
      <c r="B534" s="222"/>
      <c r="C534" s="222"/>
      <c r="D534" s="224"/>
      <c r="E534" s="54"/>
      <c r="F534" s="16">
        <v>82.142857142857139</v>
      </c>
      <c r="G534" s="8">
        <v>10.714285714285714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17">
        <v>0</v>
      </c>
      <c r="T534" s="8">
        <v>7.1428571428571423</v>
      </c>
      <c r="U534" s="8">
        <v>0</v>
      </c>
      <c r="V534" s="8">
        <v>0</v>
      </c>
      <c r="W534" s="8">
        <v>0</v>
      </c>
      <c r="X534" s="8">
        <v>0</v>
      </c>
      <c r="Y534" s="8">
        <v>0</v>
      </c>
      <c r="Z534" s="8">
        <v>0</v>
      </c>
      <c r="AA534" s="8">
        <v>0</v>
      </c>
      <c r="AB534" s="8">
        <v>0</v>
      </c>
      <c r="AC534" s="8">
        <v>0</v>
      </c>
      <c r="AD534" s="14">
        <f t="shared" si="40"/>
        <v>99.999999999999986</v>
      </c>
      <c r="AE534" s="8">
        <v>0</v>
      </c>
      <c r="AF534" s="8">
        <v>0</v>
      </c>
      <c r="AG534" s="8">
        <v>0</v>
      </c>
      <c r="AH534" s="8">
        <v>0</v>
      </c>
      <c r="AI534" s="39" t="s">
        <v>1529</v>
      </c>
      <c r="AJ534" s="7">
        <v>2</v>
      </c>
      <c r="AK534" s="62">
        <v>1273</v>
      </c>
      <c r="AL534" s="158"/>
      <c r="AM534" s="85"/>
      <c r="AN534" s="85"/>
      <c r="AO534" s="85"/>
      <c r="AP534" s="85"/>
      <c r="AQ534" s="85"/>
      <c r="AR534" s="85"/>
      <c r="AS534" s="85"/>
      <c r="AT534" s="205"/>
      <c r="AU534" s="85"/>
      <c r="AV534" s="196"/>
      <c r="AW534" s="85"/>
      <c r="AX534" s="85"/>
      <c r="AY534" s="39">
        <v>0.01</v>
      </c>
      <c r="AZ534" s="7">
        <v>201</v>
      </c>
      <c r="BA534" s="62"/>
      <c r="BB534" s="7">
        <v>1.5</v>
      </c>
      <c r="BC534" s="7">
        <v>16.899999999999999</v>
      </c>
      <c r="BD534" s="7">
        <v>194.9</v>
      </c>
      <c r="BE534" s="7">
        <v>7.1</v>
      </c>
      <c r="BF534" s="39"/>
      <c r="BG534" s="7"/>
      <c r="BH534" s="62"/>
      <c r="BI534" s="7"/>
      <c r="BJ534" s="32"/>
      <c r="BK534" s="256"/>
    </row>
    <row r="535" spans="1:63" s="4" customFormat="1" ht="23.25" customHeight="1" thickBot="1" x14ac:dyDescent="0.25">
      <c r="A535" s="7">
        <v>534</v>
      </c>
      <c r="B535" s="238">
        <v>599</v>
      </c>
      <c r="C535" s="238" t="s">
        <v>1804</v>
      </c>
      <c r="D535" s="12" t="s">
        <v>143</v>
      </c>
      <c r="E535" s="12"/>
      <c r="F535" s="87">
        <v>84.5</v>
      </c>
      <c r="G535" s="88">
        <v>8.3571428571428559</v>
      </c>
      <c r="H535" s="88">
        <v>0</v>
      </c>
      <c r="I535" s="88">
        <v>0</v>
      </c>
      <c r="J535" s="88">
        <v>0</v>
      </c>
      <c r="K535" s="88">
        <v>0</v>
      </c>
      <c r="L535" s="88">
        <v>0</v>
      </c>
      <c r="M535" s="88">
        <v>0</v>
      </c>
      <c r="N535" s="88">
        <v>0</v>
      </c>
      <c r="O535" s="88">
        <v>0</v>
      </c>
      <c r="P535" s="88">
        <v>0</v>
      </c>
      <c r="Q535" s="88">
        <v>0</v>
      </c>
      <c r="R535" s="88">
        <v>0</v>
      </c>
      <c r="S535" s="89">
        <v>0</v>
      </c>
      <c r="T535" s="88">
        <v>7.1428571428571423</v>
      </c>
      <c r="U535" s="88">
        <v>0</v>
      </c>
      <c r="V535" s="88">
        <v>0</v>
      </c>
      <c r="W535" s="88">
        <v>0</v>
      </c>
      <c r="X535" s="88">
        <v>0</v>
      </c>
      <c r="Y535" s="88">
        <v>0</v>
      </c>
      <c r="Z535" s="88">
        <v>0</v>
      </c>
      <c r="AA535" s="88">
        <v>0</v>
      </c>
      <c r="AB535" s="88">
        <v>0</v>
      </c>
      <c r="AC535" s="88">
        <v>0</v>
      </c>
      <c r="AD535" s="90">
        <f t="shared" si="40"/>
        <v>100</v>
      </c>
      <c r="AE535" s="88">
        <v>0</v>
      </c>
      <c r="AF535" s="88">
        <v>0</v>
      </c>
      <c r="AG535" s="88">
        <v>0</v>
      </c>
      <c r="AH535" s="88">
        <v>0</v>
      </c>
      <c r="AI535" s="156" t="s">
        <v>1531</v>
      </c>
      <c r="AJ535" s="45"/>
      <c r="AK535" s="91">
        <v>1323</v>
      </c>
      <c r="AL535" s="197"/>
      <c r="AM535" s="189"/>
      <c r="AN535" s="189"/>
      <c r="AO535" s="189"/>
      <c r="AP535" s="189"/>
      <c r="AQ535" s="189"/>
      <c r="AR535" s="189"/>
      <c r="AS535" s="189"/>
      <c r="AT535" s="198"/>
      <c r="AU535" s="189"/>
      <c r="AV535" s="199"/>
      <c r="AW535" s="189"/>
      <c r="AX535" s="189"/>
      <c r="AY535" s="156"/>
      <c r="AZ535" s="45"/>
      <c r="BA535" s="91"/>
      <c r="BB535" s="45">
        <v>5</v>
      </c>
      <c r="BC535" s="45">
        <v>24.15</v>
      </c>
      <c r="BD535" s="45">
        <v>186.9</v>
      </c>
      <c r="BE535" s="45">
        <v>25</v>
      </c>
      <c r="BF535" s="156"/>
      <c r="BG535" s="45"/>
      <c r="BH535" s="91"/>
      <c r="BI535" s="45"/>
      <c r="BJ535" s="67"/>
      <c r="BK535" s="256"/>
    </row>
    <row r="536" spans="1:63" ht="23.25" customHeight="1" thickBot="1" x14ac:dyDescent="0.25">
      <c r="A536" s="62">
        <v>535</v>
      </c>
      <c r="B536" s="221"/>
      <c r="C536" s="221"/>
      <c r="D536" s="54" t="s">
        <v>17</v>
      </c>
      <c r="E536" s="54"/>
      <c r="F536" s="16">
        <v>82.857142857142847</v>
      </c>
      <c r="G536" s="8">
        <v>10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17">
        <v>0</v>
      </c>
      <c r="T536" s="8">
        <v>7.1428571428571423</v>
      </c>
      <c r="U536" s="8">
        <v>0</v>
      </c>
      <c r="V536" s="8">
        <v>0</v>
      </c>
      <c r="W536" s="8">
        <v>0</v>
      </c>
      <c r="X536" s="8">
        <v>0</v>
      </c>
      <c r="Y536" s="8">
        <v>0</v>
      </c>
      <c r="Z536" s="8">
        <v>0</v>
      </c>
      <c r="AA536" s="8">
        <v>0</v>
      </c>
      <c r="AB536" s="8">
        <v>0</v>
      </c>
      <c r="AC536" s="8">
        <v>0</v>
      </c>
      <c r="AD536" s="14">
        <f t="shared" si="40"/>
        <v>99.999999999999986</v>
      </c>
      <c r="AE536" s="8">
        <v>0</v>
      </c>
      <c r="AF536" s="8">
        <v>0</v>
      </c>
      <c r="AG536" s="8">
        <v>0</v>
      </c>
      <c r="AH536" s="8">
        <v>0</v>
      </c>
      <c r="AI536" s="39" t="s">
        <v>1531</v>
      </c>
      <c r="AJ536" s="7"/>
      <c r="AK536" s="62">
        <v>1323</v>
      </c>
      <c r="AL536" s="158"/>
      <c r="AM536" s="85"/>
      <c r="AN536" s="85"/>
      <c r="AO536" s="85"/>
      <c r="AP536" s="85"/>
      <c r="AQ536" s="85"/>
      <c r="AR536" s="85"/>
      <c r="AS536" s="85"/>
      <c r="AT536" s="205"/>
      <c r="AU536" s="85"/>
      <c r="AV536" s="196"/>
      <c r="AW536" s="85"/>
      <c r="AX536" s="85"/>
      <c r="AY536" s="39"/>
      <c r="AZ536" s="7"/>
      <c r="BA536" s="62"/>
      <c r="BB536" s="7">
        <v>5</v>
      </c>
      <c r="BC536" s="7">
        <v>25</v>
      </c>
      <c r="BD536" s="7">
        <v>201</v>
      </c>
      <c r="BE536" s="7">
        <v>21.5</v>
      </c>
      <c r="BF536" s="39"/>
      <c r="BG536" s="7"/>
      <c r="BH536" s="62"/>
      <c r="BI536" s="7"/>
      <c r="BJ536" s="32"/>
      <c r="BK536" s="256"/>
    </row>
    <row r="537" spans="1:63" s="6" customFormat="1" ht="23.25" customHeight="1" thickBot="1" x14ac:dyDescent="0.25">
      <c r="A537" s="7">
        <v>536</v>
      </c>
      <c r="B537" s="222"/>
      <c r="C537" s="222"/>
      <c r="D537" s="13" t="s">
        <v>15</v>
      </c>
      <c r="E537" s="13"/>
      <c r="F537" s="80">
        <v>77.142857142857153</v>
      </c>
      <c r="G537" s="81">
        <v>15.714285714285717</v>
      </c>
      <c r="H537" s="81">
        <v>0</v>
      </c>
      <c r="I537" s="81">
        <v>0</v>
      </c>
      <c r="J537" s="81">
        <v>0</v>
      </c>
      <c r="K537" s="81">
        <v>0</v>
      </c>
      <c r="L537" s="81">
        <v>0</v>
      </c>
      <c r="M537" s="81">
        <v>0</v>
      </c>
      <c r="N537" s="81">
        <v>0</v>
      </c>
      <c r="O537" s="81">
        <v>0</v>
      </c>
      <c r="P537" s="81">
        <v>0</v>
      </c>
      <c r="Q537" s="81">
        <v>0</v>
      </c>
      <c r="R537" s="81">
        <v>0</v>
      </c>
      <c r="S537" s="82">
        <v>0</v>
      </c>
      <c r="T537" s="81">
        <v>7.1428571428571423</v>
      </c>
      <c r="U537" s="81">
        <v>0</v>
      </c>
      <c r="V537" s="81">
        <v>0</v>
      </c>
      <c r="W537" s="81">
        <v>0</v>
      </c>
      <c r="X537" s="81">
        <v>0</v>
      </c>
      <c r="Y537" s="81">
        <v>0</v>
      </c>
      <c r="Z537" s="81">
        <v>0</v>
      </c>
      <c r="AA537" s="81">
        <v>0</v>
      </c>
      <c r="AB537" s="81">
        <v>0</v>
      </c>
      <c r="AC537" s="81">
        <v>0</v>
      </c>
      <c r="AD537" s="83">
        <f t="shared" si="40"/>
        <v>100.00000000000001</v>
      </c>
      <c r="AE537" s="81">
        <v>0</v>
      </c>
      <c r="AF537" s="81">
        <v>0</v>
      </c>
      <c r="AG537" s="81">
        <v>0</v>
      </c>
      <c r="AH537" s="81">
        <v>0</v>
      </c>
      <c r="AI537" s="79" t="s">
        <v>1531</v>
      </c>
      <c r="AJ537" s="65"/>
      <c r="AK537" s="78">
        <v>1323</v>
      </c>
      <c r="AL537" s="200"/>
      <c r="AM537" s="190"/>
      <c r="AN537" s="190"/>
      <c r="AO537" s="190"/>
      <c r="AP537" s="190"/>
      <c r="AQ537" s="190"/>
      <c r="AR537" s="190"/>
      <c r="AS537" s="190"/>
      <c r="AT537" s="201"/>
      <c r="AU537" s="190"/>
      <c r="AV537" s="202"/>
      <c r="AW537" s="190"/>
      <c r="AX537" s="190"/>
      <c r="AY537" s="79"/>
      <c r="AZ537" s="65"/>
      <c r="BA537" s="78"/>
      <c r="BB537" s="65">
        <v>5</v>
      </c>
      <c r="BC537" s="65">
        <v>7.2</v>
      </c>
      <c r="BD537" s="65">
        <v>239.4</v>
      </c>
      <c r="BE537" s="65">
        <v>57.9</v>
      </c>
      <c r="BF537" s="79"/>
      <c r="BG537" s="65"/>
      <c r="BH537" s="78"/>
      <c r="BI537" s="65"/>
      <c r="BJ537" s="68"/>
      <c r="BK537" s="256"/>
    </row>
    <row r="538" spans="1:63" ht="23.25" customHeight="1" thickBot="1" x14ac:dyDescent="0.25">
      <c r="A538" s="62">
        <v>537</v>
      </c>
      <c r="B538" s="238">
        <v>601</v>
      </c>
      <c r="C538" s="238" t="s">
        <v>1805</v>
      </c>
      <c r="D538" s="54" t="s">
        <v>144</v>
      </c>
      <c r="E538" s="54"/>
      <c r="F538" s="16">
        <v>82.921428571428564</v>
      </c>
      <c r="G538" s="8">
        <v>9.9357142857142851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17">
        <v>0</v>
      </c>
      <c r="T538" s="8">
        <v>7.1428571428571423</v>
      </c>
      <c r="U538" s="8">
        <v>0</v>
      </c>
      <c r="V538" s="8">
        <v>0</v>
      </c>
      <c r="W538" s="8">
        <v>0</v>
      </c>
      <c r="X538" s="8">
        <v>0</v>
      </c>
      <c r="Y538" s="8">
        <v>0</v>
      </c>
      <c r="Z538" s="8">
        <v>0</v>
      </c>
      <c r="AA538" s="8">
        <v>0</v>
      </c>
      <c r="AB538" s="8">
        <v>0</v>
      </c>
      <c r="AC538" s="8">
        <v>0</v>
      </c>
      <c r="AD538" s="14">
        <f t="shared" si="40"/>
        <v>99.999999999999986</v>
      </c>
      <c r="AE538" s="8">
        <v>0</v>
      </c>
      <c r="AF538" s="8">
        <v>0</v>
      </c>
      <c r="AG538" s="8">
        <v>0</v>
      </c>
      <c r="AH538" s="8">
        <v>0</v>
      </c>
      <c r="AJ538" s="7"/>
      <c r="AK538" s="62"/>
      <c r="AL538" s="158"/>
      <c r="AM538" s="85"/>
      <c r="AN538" s="85"/>
      <c r="AO538" s="85"/>
      <c r="AP538" s="85"/>
      <c r="AQ538" s="85"/>
      <c r="AR538" s="85"/>
      <c r="AS538" s="85"/>
      <c r="AT538" s="205"/>
      <c r="AU538" s="85"/>
      <c r="AV538" s="196"/>
      <c r="AW538" s="85"/>
      <c r="AX538" s="85"/>
      <c r="AY538" s="39">
        <v>1</v>
      </c>
      <c r="AZ538" s="7">
        <v>195.4</v>
      </c>
      <c r="BA538" s="62">
        <v>2.5</v>
      </c>
      <c r="BB538" s="7">
        <v>1.6</v>
      </c>
      <c r="BC538" s="7">
        <v>22</v>
      </c>
      <c r="BD538" s="7">
        <v>195.2</v>
      </c>
      <c r="BE538" s="7">
        <v>6.6</v>
      </c>
      <c r="BF538" s="39"/>
      <c r="BG538" s="7"/>
      <c r="BH538" s="62"/>
      <c r="BI538" s="7">
        <v>7.19</v>
      </c>
      <c r="BJ538" s="32"/>
      <c r="BK538" s="256"/>
    </row>
    <row r="539" spans="1:63" ht="23.25" customHeight="1" thickBot="1" x14ac:dyDescent="0.25">
      <c r="A539" s="7">
        <v>538</v>
      </c>
      <c r="B539" s="221"/>
      <c r="C539" s="221"/>
      <c r="D539" s="54" t="s">
        <v>145</v>
      </c>
      <c r="E539" s="54"/>
      <c r="F539" s="16">
        <v>82.364285714285728</v>
      </c>
      <c r="G539" s="8">
        <v>10.492857142857144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17">
        <v>0</v>
      </c>
      <c r="T539" s="8">
        <v>7.1428571428571423</v>
      </c>
      <c r="U539" s="8">
        <v>0</v>
      </c>
      <c r="V539" s="8">
        <v>0</v>
      </c>
      <c r="W539" s="8">
        <v>0</v>
      </c>
      <c r="X539" s="8">
        <v>0</v>
      </c>
      <c r="Y539" s="8">
        <v>0</v>
      </c>
      <c r="Z539" s="8">
        <v>0</v>
      </c>
      <c r="AA539" s="8">
        <v>0</v>
      </c>
      <c r="AB539" s="8">
        <v>0</v>
      </c>
      <c r="AC539" s="8">
        <v>0</v>
      </c>
      <c r="AD539" s="14">
        <f t="shared" si="40"/>
        <v>100.00000000000001</v>
      </c>
      <c r="AE539" s="8">
        <v>0</v>
      </c>
      <c r="AF539" s="8">
        <v>0</v>
      </c>
      <c r="AG539" s="8">
        <v>0</v>
      </c>
      <c r="AH539" s="8">
        <v>0</v>
      </c>
      <c r="AJ539" s="7"/>
      <c r="AK539" s="62"/>
      <c r="AL539" s="158"/>
      <c r="AM539" s="85"/>
      <c r="AN539" s="85"/>
      <c r="AO539" s="85"/>
      <c r="AP539" s="85"/>
      <c r="AQ539" s="85"/>
      <c r="AR539" s="85"/>
      <c r="AS539" s="85"/>
      <c r="AT539" s="205"/>
      <c r="AU539" s="85"/>
      <c r="AV539" s="196"/>
      <c r="AW539" s="85"/>
      <c r="AX539" s="85"/>
      <c r="AY539" s="39"/>
      <c r="AZ539" s="7"/>
      <c r="BA539" s="62">
        <v>2.4</v>
      </c>
      <c r="BB539" s="7">
        <v>1.6</v>
      </c>
      <c r="BC539" s="7">
        <v>18.899999999999999</v>
      </c>
      <c r="BD539" s="7">
        <v>198.9</v>
      </c>
      <c r="BE539" s="7">
        <v>7</v>
      </c>
      <c r="BF539" s="39"/>
      <c r="BG539" s="7"/>
      <c r="BH539" s="62"/>
      <c r="BI539" s="7"/>
      <c r="BJ539" s="32"/>
      <c r="BK539" s="256"/>
    </row>
    <row r="540" spans="1:63" ht="23.25" customHeight="1" thickBot="1" x14ac:dyDescent="0.25">
      <c r="A540" s="62">
        <v>539</v>
      </c>
      <c r="B540" s="221"/>
      <c r="C540" s="221"/>
      <c r="D540" s="54" t="s">
        <v>146</v>
      </c>
      <c r="E540" s="54"/>
      <c r="F540" s="16">
        <v>81.80714285714285</v>
      </c>
      <c r="G540" s="8">
        <v>11.05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17">
        <v>0</v>
      </c>
      <c r="T540" s="8">
        <v>7.1428571428571423</v>
      </c>
      <c r="U540" s="8">
        <v>0</v>
      </c>
      <c r="V540" s="8">
        <v>0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0</v>
      </c>
      <c r="AD540" s="14">
        <f t="shared" si="40"/>
        <v>99.999999999999986</v>
      </c>
      <c r="AE540" s="8">
        <v>0</v>
      </c>
      <c r="AF540" s="8">
        <v>0</v>
      </c>
      <c r="AG540" s="8">
        <v>0</v>
      </c>
      <c r="AH540" s="8">
        <v>0</v>
      </c>
      <c r="AJ540" s="7"/>
      <c r="AK540" s="62"/>
      <c r="AL540" s="158"/>
      <c r="AM540" s="85"/>
      <c r="AN540" s="85"/>
      <c r="AO540" s="85"/>
      <c r="AP540" s="85"/>
      <c r="AQ540" s="85"/>
      <c r="AR540" s="85"/>
      <c r="AS540" s="85"/>
      <c r="AT540" s="205"/>
      <c r="AU540" s="85"/>
      <c r="AV540" s="196"/>
      <c r="AW540" s="85"/>
      <c r="AX540" s="85"/>
      <c r="AY540" s="39">
        <v>1.6</v>
      </c>
      <c r="AZ540" s="7">
        <v>205.8</v>
      </c>
      <c r="BA540" s="62">
        <v>0.7</v>
      </c>
      <c r="BB540" s="7">
        <v>1.6</v>
      </c>
      <c r="BC540" s="7">
        <v>16.2</v>
      </c>
      <c r="BD540" s="7">
        <v>202.9</v>
      </c>
      <c r="BE540" s="7">
        <v>7.2</v>
      </c>
      <c r="BF540" s="39"/>
      <c r="BG540" s="7"/>
      <c r="BH540" s="62"/>
      <c r="BI540" s="7"/>
      <c r="BJ540" s="32"/>
      <c r="BK540" s="256"/>
    </row>
    <row r="541" spans="1:63" ht="23.25" customHeight="1" thickBot="1" x14ac:dyDescent="0.25">
      <c r="A541" s="7">
        <v>540</v>
      </c>
      <c r="B541" s="221"/>
      <c r="C541" s="221"/>
      <c r="D541" s="54" t="s">
        <v>147</v>
      </c>
      <c r="E541" s="54"/>
      <c r="F541" s="16">
        <v>80.321428571428569</v>
      </c>
      <c r="G541" s="8">
        <v>7.8928571428571432</v>
      </c>
      <c r="H541" s="8">
        <v>0</v>
      </c>
      <c r="I541" s="8">
        <v>0</v>
      </c>
      <c r="J541" s="8">
        <v>4.6428571428571432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17">
        <v>0</v>
      </c>
      <c r="T541" s="8">
        <v>7.1428571428571423</v>
      </c>
      <c r="U541" s="8">
        <v>0</v>
      </c>
      <c r="V541" s="8">
        <v>0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  <c r="AD541" s="14">
        <f t="shared" si="40"/>
        <v>99.999999999999986</v>
      </c>
      <c r="AE541" s="8">
        <v>0</v>
      </c>
      <c r="AF541" s="8">
        <v>0</v>
      </c>
      <c r="AG541" s="8">
        <v>0</v>
      </c>
      <c r="AH541" s="8">
        <v>0</v>
      </c>
      <c r="AJ541" s="7"/>
      <c r="AK541" s="62"/>
      <c r="AL541" s="158"/>
      <c r="AM541" s="85"/>
      <c r="AN541" s="85"/>
      <c r="AO541" s="85"/>
      <c r="AP541" s="85"/>
      <c r="AQ541" s="85"/>
      <c r="AR541" s="85"/>
      <c r="AS541" s="85"/>
      <c r="AT541" s="205"/>
      <c r="AU541" s="85"/>
      <c r="AV541" s="196"/>
      <c r="AW541" s="85"/>
      <c r="AX541" s="85"/>
      <c r="AY541" s="39"/>
      <c r="AZ541" s="7"/>
      <c r="BA541" s="62"/>
      <c r="BB541" s="7">
        <v>1.6</v>
      </c>
      <c r="BC541" s="7">
        <v>9.4</v>
      </c>
      <c r="BD541" s="7">
        <v>254.7</v>
      </c>
      <c r="BE541" s="7">
        <v>13.7</v>
      </c>
      <c r="BF541" s="39"/>
      <c r="BG541" s="7"/>
      <c r="BH541" s="62"/>
      <c r="BI541" s="7">
        <v>7.24</v>
      </c>
      <c r="BJ541" s="32"/>
      <c r="BK541" s="256"/>
    </row>
    <row r="542" spans="1:63" ht="23.25" customHeight="1" thickBot="1" x14ac:dyDescent="0.25">
      <c r="A542" s="62">
        <v>541</v>
      </c>
      <c r="B542" s="221"/>
      <c r="C542" s="221"/>
      <c r="D542" s="54" t="s">
        <v>148</v>
      </c>
      <c r="E542" s="54"/>
      <c r="F542" s="16">
        <v>79.578571428571436</v>
      </c>
      <c r="G542" s="8">
        <v>7.8928571428571432</v>
      </c>
      <c r="H542" s="8">
        <v>0</v>
      </c>
      <c r="I542" s="8">
        <v>0</v>
      </c>
      <c r="J542" s="8">
        <v>5.3857142857142861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17">
        <v>0</v>
      </c>
      <c r="T542" s="8">
        <v>7.1428571428571423</v>
      </c>
      <c r="U542" s="8">
        <v>0</v>
      </c>
      <c r="V542" s="8">
        <v>0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14">
        <f t="shared" si="40"/>
        <v>100</v>
      </c>
      <c r="AE542" s="8">
        <v>0</v>
      </c>
      <c r="AF542" s="8">
        <v>0</v>
      </c>
      <c r="AG542" s="8">
        <v>0</v>
      </c>
      <c r="AH542" s="8">
        <v>0</v>
      </c>
      <c r="AJ542" s="7"/>
      <c r="AK542" s="62"/>
      <c r="AL542" s="158"/>
      <c r="AM542" s="85"/>
      <c r="AN542" s="85"/>
      <c r="AO542" s="85"/>
      <c r="AP542" s="85"/>
      <c r="AQ542" s="85"/>
      <c r="AR542" s="85"/>
      <c r="AS542" s="85"/>
      <c r="AT542" s="205"/>
      <c r="AU542" s="85"/>
      <c r="AV542" s="196"/>
      <c r="AW542" s="85"/>
      <c r="AX542" s="85"/>
      <c r="AY542" s="39"/>
      <c r="AZ542" s="7"/>
      <c r="BA542" s="62"/>
      <c r="BB542" s="7">
        <v>1.6</v>
      </c>
      <c r="BC542" s="7">
        <v>8.6999999999999993</v>
      </c>
      <c r="BD542" s="7">
        <v>264</v>
      </c>
      <c r="BE542" s="7">
        <v>15.4</v>
      </c>
      <c r="BF542" s="39"/>
      <c r="BG542" s="7"/>
      <c r="BH542" s="62"/>
      <c r="BI542" s="7">
        <v>7.24</v>
      </c>
      <c r="BJ542" s="32"/>
      <c r="BK542" s="256"/>
    </row>
    <row r="543" spans="1:63" ht="23.25" customHeight="1" thickBot="1" x14ac:dyDescent="0.25">
      <c r="A543" s="7">
        <v>542</v>
      </c>
      <c r="B543" s="221"/>
      <c r="C543" s="221"/>
      <c r="D543" s="54" t="s">
        <v>149</v>
      </c>
      <c r="E543" s="54"/>
      <c r="F543" s="16">
        <v>78.928571428571431</v>
      </c>
      <c r="G543" s="8">
        <v>7.8928571428571432</v>
      </c>
      <c r="H543" s="8">
        <v>0</v>
      </c>
      <c r="I543" s="8">
        <v>0</v>
      </c>
      <c r="J543" s="8">
        <v>6.0357142857142856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17">
        <v>0</v>
      </c>
      <c r="T543" s="8">
        <v>7.1428571428571423</v>
      </c>
      <c r="U543" s="8">
        <v>0</v>
      </c>
      <c r="V543" s="8">
        <v>0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14">
        <f t="shared" si="40"/>
        <v>100</v>
      </c>
      <c r="AE543" s="8">
        <v>0</v>
      </c>
      <c r="AF543" s="8">
        <v>0</v>
      </c>
      <c r="AG543" s="8">
        <v>0</v>
      </c>
      <c r="AH543" s="8">
        <v>0</v>
      </c>
      <c r="AJ543" s="7"/>
      <c r="AK543" s="62"/>
      <c r="AL543" s="158"/>
      <c r="AM543" s="85"/>
      <c r="AN543" s="85"/>
      <c r="AO543" s="85"/>
      <c r="AP543" s="85"/>
      <c r="AQ543" s="85"/>
      <c r="AR543" s="85"/>
      <c r="AS543" s="85"/>
      <c r="AT543" s="205"/>
      <c r="AU543" s="85"/>
      <c r="AV543" s="196"/>
      <c r="AW543" s="85"/>
      <c r="AX543" s="85"/>
      <c r="AY543" s="39"/>
      <c r="AZ543" s="7"/>
      <c r="BA543" s="62"/>
      <c r="BB543" s="7">
        <v>1.6</v>
      </c>
      <c r="BC543" s="7">
        <v>7.2</v>
      </c>
      <c r="BD543" s="7">
        <v>274.39999999999998</v>
      </c>
      <c r="BE543" s="7">
        <v>18.3</v>
      </c>
      <c r="BF543" s="39"/>
      <c r="BG543" s="7"/>
      <c r="BH543" s="62"/>
      <c r="BI543" s="7">
        <v>7.24</v>
      </c>
      <c r="BJ543" s="32"/>
      <c r="BK543" s="256"/>
    </row>
    <row r="544" spans="1:63" ht="23.25" customHeight="1" thickBot="1" x14ac:dyDescent="0.25">
      <c r="A544" s="62">
        <v>543</v>
      </c>
      <c r="B544" s="221"/>
      <c r="C544" s="221"/>
      <c r="D544" s="54" t="s">
        <v>150</v>
      </c>
      <c r="E544" s="54"/>
      <c r="F544" s="16">
        <v>78</v>
      </c>
      <c r="G544" s="8">
        <v>7.8928571428571432</v>
      </c>
      <c r="H544" s="8">
        <v>0</v>
      </c>
      <c r="I544" s="8">
        <v>0</v>
      </c>
      <c r="J544" s="8">
        <v>6.9642857142857144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17">
        <v>0</v>
      </c>
      <c r="T544" s="8">
        <v>7.1428571428571423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8">
        <v>0</v>
      </c>
      <c r="AA544" s="8">
        <v>0</v>
      </c>
      <c r="AB544" s="8">
        <v>0</v>
      </c>
      <c r="AC544" s="8">
        <v>0</v>
      </c>
      <c r="AD544" s="14">
        <f t="shared" si="40"/>
        <v>99.999999999999986</v>
      </c>
      <c r="AE544" s="8">
        <v>0</v>
      </c>
      <c r="AF544" s="8">
        <v>0</v>
      </c>
      <c r="AG544" s="8">
        <v>0</v>
      </c>
      <c r="AH544" s="8">
        <v>0</v>
      </c>
      <c r="AJ544" s="7"/>
      <c r="AK544" s="62"/>
      <c r="AL544" s="158"/>
      <c r="AM544" s="85"/>
      <c r="AN544" s="85"/>
      <c r="AO544" s="85"/>
      <c r="AP544" s="85"/>
      <c r="AQ544" s="85"/>
      <c r="AR544" s="85"/>
      <c r="AS544" s="85"/>
      <c r="AT544" s="205"/>
      <c r="AU544" s="85"/>
      <c r="AV544" s="196"/>
      <c r="AW544" s="85"/>
      <c r="AX544" s="85"/>
      <c r="AY544" s="39"/>
      <c r="AZ544" s="7"/>
      <c r="BA544" s="62"/>
      <c r="BB544" s="7">
        <v>1.6</v>
      </c>
      <c r="BC544" s="7">
        <v>6.2</v>
      </c>
      <c r="BD544" s="7">
        <v>287.3</v>
      </c>
      <c r="BE544" s="7">
        <v>22.3</v>
      </c>
      <c r="BF544" s="39"/>
      <c r="BG544" s="7"/>
      <c r="BH544" s="62"/>
      <c r="BI544" s="7">
        <v>7.24</v>
      </c>
      <c r="BJ544" s="32"/>
      <c r="BK544" s="256"/>
    </row>
    <row r="545" spans="1:63" ht="23.25" customHeight="1" thickBot="1" x14ac:dyDescent="0.25">
      <c r="A545" s="7">
        <v>544</v>
      </c>
      <c r="B545" s="221"/>
      <c r="C545" s="221"/>
      <c r="D545" s="54" t="s">
        <v>151</v>
      </c>
      <c r="E545" s="54"/>
      <c r="F545" s="16">
        <v>76.885714285714286</v>
      </c>
      <c r="G545" s="8">
        <v>7.8928571428571432</v>
      </c>
      <c r="H545" s="8">
        <v>0</v>
      </c>
      <c r="I545" s="8">
        <v>0</v>
      </c>
      <c r="J545" s="8">
        <v>8.0785714285714274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17">
        <v>0</v>
      </c>
      <c r="T545" s="8">
        <v>7.1428571428571423</v>
      </c>
      <c r="U545" s="8">
        <v>0</v>
      </c>
      <c r="V545" s="8">
        <v>0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  <c r="AB545" s="8">
        <v>0</v>
      </c>
      <c r="AC545" s="8">
        <v>0</v>
      </c>
      <c r="AD545" s="14">
        <f t="shared" si="40"/>
        <v>99.999999999999986</v>
      </c>
      <c r="AE545" s="8">
        <v>0</v>
      </c>
      <c r="AF545" s="8">
        <v>0</v>
      </c>
      <c r="AG545" s="8">
        <v>0</v>
      </c>
      <c r="AH545" s="8">
        <v>0</v>
      </c>
      <c r="AJ545" s="7"/>
      <c r="AK545" s="62"/>
      <c r="AL545" s="158"/>
      <c r="AM545" s="85"/>
      <c r="AN545" s="85"/>
      <c r="AO545" s="85"/>
      <c r="AP545" s="85"/>
      <c r="AQ545" s="85"/>
      <c r="AR545" s="85"/>
      <c r="AS545" s="85"/>
      <c r="AT545" s="205"/>
      <c r="AU545" s="85"/>
      <c r="AV545" s="196"/>
      <c r="AW545" s="85"/>
      <c r="AX545" s="85"/>
      <c r="AY545" s="39"/>
      <c r="AZ545" s="7"/>
      <c r="BA545" s="62"/>
      <c r="BB545" s="7">
        <v>1.6</v>
      </c>
      <c r="BC545" s="7">
        <v>5.5</v>
      </c>
      <c r="BD545" s="7">
        <v>302.7</v>
      </c>
      <c r="BE545" s="7">
        <v>25.6</v>
      </c>
      <c r="BF545" s="39"/>
      <c r="BG545" s="7"/>
      <c r="BH545" s="62"/>
      <c r="BI545" s="7">
        <v>7.21</v>
      </c>
      <c r="BJ545" s="32"/>
      <c r="BK545" s="256"/>
    </row>
    <row r="546" spans="1:63" ht="23.25" customHeight="1" thickBot="1" x14ac:dyDescent="0.25">
      <c r="A546" s="62">
        <v>545</v>
      </c>
      <c r="B546" s="221"/>
      <c r="C546" s="221"/>
      <c r="D546" s="54" t="s">
        <v>152</v>
      </c>
      <c r="E546" s="54"/>
      <c r="F546" s="16">
        <v>75.771428571428572</v>
      </c>
      <c r="G546" s="8">
        <v>7.8928571428571432</v>
      </c>
      <c r="H546" s="8">
        <v>0</v>
      </c>
      <c r="I546" s="8">
        <v>0</v>
      </c>
      <c r="J546" s="8">
        <v>9.1928571428571448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17">
        <v>0</v>
      </c>
      <c r="T546" s="8">
        <v>7.1428571428571423</v>
      </c>
      <c r="U546" s="8">
        <v>0</v>
      </c>
      <c r="V546" s="8">
        <v>0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</v>
      </c>
      <c r="AD546" s="14">
        <f t="shared" si="40"/>
        <v>100</v>
      </c>
      <c r="AE546" s="8">
        <v>0</v>
      </c>
      <c r="AF546" s="8">
        <v>0</v>
      </c>
      <c r="AG546" s="8">
        <v>0</v>
      </c>
      <c r="AH546" s="8">
        <v>0</v>
      </c>
      <c r="AJ546" s="7"/>
      <c r="AK546" s="62"/>
      <c r="AL546" s="158"/>
      <c r="AM546" s="85"/>
      <c r="AN546" s="85"/>
      <c r="AO546" s="85"/>
      <c r="AP546" s="85"/>
      <c r="AQ546" s="85"/>
      <c r="AR546" s="85"/>
      <c r="AS546" s="85"/>
      <c r="AT546" s="205"/>
      <c r="AU546" s="85"/>
      <c r="AV546" s="196"/>
      <c r="AW546" s="85"/>
      <c r="AX546" s="85"/>
      <c r="AY546" s="39"/>
      <c r="AZ546" s="7"/>
      <c r="BA546" s="62"/>
      <c r="BB546" s="7">
        <v>1.6</v>
      </c>
      <c r="BC546" s="7">
        <v>4.8</v>
      </c>
      <c r="BD546" s="7">
        <v>320.60000000000002</v>
      </c>
      <c r="BE546" s="7">
        <v>28.2</v>
      </c>
      <c r="BF546" s="39"/>
      <c r="BG546" s="7"/>
      <c r="BH546" s="62"/>
      <c r="BI546" s="7">
        <v>7.2</v>
      </c>
      <c r="BJ546" s="32"/>
      <c r="BK546" s="256"/>
    </row>
    <row r="547" spans="1:63" ht="23.25" customHeight="1" thickBot="1" x14ac:dyDescent="0.25">
      <c r="A547" s="7">
        <v>546</v>
      </c>
      <c r="B547" s="221"/>
      <c r="C547" s="221"/>
      <c r="D547" s="54" t="s">
        <v>153</v>
      </c>
      <c r="E547" s="54"/>
      <c r="F547" s="16">
        <v>74.564285714285717</v>
      </c>
      <c r="G547" s="8">
        <v>7.8928571428571432</v>
      </c>
      <c r="H547" s="8">
        <v>0</v>
      </c>
      <c r="I547" s="8">
        <v>0</v>
      </c>
      <c r="J547" s="8">
        <v>10.4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17">
        <v>0</v>
      </c>
      <c r="T547" s="8">
        <v>7.1428571428571423</v>
      </c>
      <c r="U547" s="8">
        <v>0</v>
      </c>
      <c r="V547" s="8">
        <v>0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  <c r="AB547" s="8">
        <v>0</v>
      </c>
      <c r="AC547" s="8">
        <v>0</v>
      </c>
      <c r="AD547" s="14">
        <f t="shared" si="40"/>
        <v>100</v>
      </c>
      <c r="AE547" s="8">
        <v>0</v>
      </c>
      <c r="AF547" s="8">
        <v>0</v>
      </c>
      <c r="AG547" s="8">
        <v>0</v>
      </c>
      <c r="AH547" s="8">
        <v>0</v>
      </c>
      <c r="AJ547" s="7"/>
      <c r="AK547" s="62"/>
      <c r="AL547" s="158"/>
      <c r="AM547" s="85"/>
      <c r="AN547" s="85"/>
      <c r="AO547" s="85"/>
      <c r="AP547" s="85"/>
      <c r="AQ547" s="85"/>
      <c r="AR547" s="85"/>
      <c r="AS547" s="85"/>
      <c r="AT547" s="205"/>
      <c r="AU547" s="85"/>
      <c r="AV547" s="196"/>
      <c r="AW547" s="85"/>
      <c r="AX547" s="85"/>
      <c r="AY547" s="39"/>
      <c r="AZ547" s="7"/>
      <c r="BA547" s="62"/>
      <c r="BB547" s="7">
        <v>1.6</v>
      </c>
      <c r="BC547" s="7">
        <v>4.5</v>
      </c>
      <c r="BD547" s="7">
        <v>336.5</v>
      </c>
      <c r="BE547" s="7">
        <v>31.5</v>
      </c>
      <c r="BF547" s="39"/>
      <c r="BG547" s="7"/>
      <c r="BH547" s="62"/>
      <c r="BI547" s="7">
        <v>7.21</v>
      </c>
      <c r="BJ547" s="32"/>
      <c r="BK547" s="256"/>
    </row>
    <row r="548" spans="1:63" ht="23.25" customHeight="1" thickBot="1" x14ac:dyDescent="0.25">
      <c r="A548" s="62">
        <v>547</v>
      </c>
      <c r="B548" s="221"/>
      <c r="C548" s="221"/>
      <c r="D548" s="223" t="s">
        <v>154</v>
      </c>
      <c r="E548" s="54"/>
      <c r="F548" s="16">
        <v>84.964285714285708</v>
      </c>
      <c r="G548" s="8">
        <v>7.8928571428571432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17">
        <v>0</v>
      </c>
      <c r="T548" s="8">
        <v>7.1428571428571423</v>
      </c>
      <c r="U548" s="8">
        <v>0</v>
      </c>
      <c r="V548" s="8">
        <v>0</v>
      </c>
      <c r="W548" s="8">
        <v>0</v>
      </c>
      <c r="X548" s="8">
        <v>0</v>
      </c>
      <c r="Y548" s="8">
        <v>0</v>
      </c>
      <c r="Z548" s="8">
        <v>0</v>
      </c>
      <c r="AA548" s="8">
        <v>0</v>
      </c>
      <c r="AB548" s="8">
        <v>0</v>
      </c>
      <c r="AC548" s="8">
        <v>0</v>
      </c>
      <c r="AD548" s="14">
        <f t="shared" si="40"/>
        <v>99.999999999999986</v>
      </c>
      <c r="AE548" s="8">
        <v>0</v>
      </c>
      <c r="AF548" s="8">
        <v>0</v>
      </c>
      <c r="AG548" s="8">
        <v>0</v>
      </c>
      <c r="AH548" s="8">
        <v>0</v>
      </c>
      <c r="AJ548" s="7"/>
      <c r="AK548" s="93">
        <v>1423</v>
      </c>
      <c r="AL548" s="158"/>
      <c r="AM548" s="85"/>
      <c r="AN548" s="85"/>
      <c r="AO548" s="85"/>
      <c r="AP548" s="85"/>
      <c r="AQ548" s="85"/>
      <c r="AR548" s="85"/>
      <c r="AS548" s="85"/>
      <c r="AT548" s="205"/>
      <c r="AU548" s="85"/>
      <c r="AV548" s="196"/>
      <c r="AW548" s="85"/>
      <c r="AX548" s="85"/>
      <c r="AY548" s="39"/>
      <c r="AZ548" s="7"/>
      <c r="BA548" s="62"/>
      <c r="BB548" s="7"/>
      <c r="BC548" s="7"/>
      <c r="BD548" s="7"/>
      <c r="BE548" s="7"/>
      <c r="BF548" s="39">
        <v>1.7</v>
      </c>
      <c r="BG548" s="7">
        <v>3.7</v>
      </c>
      <c r="BH548" s="62">
        <v>188.8</v>
      </c>
      <c r="BI548" s="7"/>
      <c r="BJ548" s="32"/>
      <c r="BK548" s="256"/>
    </row>
    <row r="549" spans="1:63" ht="23.25" customHeight="1" thickBot="1" x14ac:dyDescent="0.25">
      <c r="A549" s="7">
        <v>548</v>
      </c>
      <c r="B549" s="221"/>
      <c r="C549" s="221"/>
      <c r="D549" s="223"/>
      <c r="E549" s="54"/>
      <c r="F549" s="16">
        <v>84.964285714285708</v>
      </c>
      <c r="G549" s="8">
        <v>7.8928571428571432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>
        <v>0</v>
      </c>
      <c r="S549" s="17">
        <v>0</v>
      </c>
      <c r="T549" s="8">
        <v>7.1428571428571423</v>
      </c>
      <c r="U549" s="8">
        <v>0</v>
      </c>
      <c r="V549" s="8">
        <v>0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  <c r="AD549" s="14">
        <f t="shared" si="40"/>
        <v>99.999999999999986</v>
      </c>
      <c r="AE549" s="8">
        <v>0</v>
      </c>
      <c r="AF549" s="8">
        <v>0</v>
      </c>
      <c r="AG549" s="8">
        <v>0</v>
      </c>
      <c r="AH549" s="8">
        <v>0</v>
      </c>
      <c r="AJ549" s="7"/>
      <c r="AK549" s="93">
        <v>1393</v>
      </c>
      <c r="AL549" s="158"/>
      <c r="AM549" s="85"/>
      <c r="AN549" s="85"/>
      <c r="AO549" s="85"/>
      <c r="AP549" s="85"/>
      <c r="AQ549" s="85"/>
      <c r="AR549" s="85"/>
      <c r="AS549" s="85"/>
      <c r="AT549" s="205"/>
      <c r="AU549" s="85"/>
      <c r="AV549" s="196"/>
      <c r="AW549" s="85"/>
      <c r="AX549" s="85"/>
      <c r="AY549" s="39"/>
      <c r="AZ549" s="7"/>
      <c r="BA549" s="62"/>
      <c r="BB549" s="7"/>
      <c r="BC549" s="7"/>
      <c r="BD549" s="7"/>
      <c r="BE549" s="7"/>
      <c r="BF549" s="39">
        <v>1.7</v>
      </c>
      <c r="BG549" s="7">
        <v>4.2</v>
      </c>
      <c r="BH549" s="62">
        <v>186.7</v>
      </c>
      <c r="BI549" s="7"/>
      <c r="BJ549" s="32"/>
      <c r="BK549" s="256"/>
    </row>
    <row r="550" spans="1:63" ht="23.25" customHeight="1" thickBot="1" x14ac:dyDescent="0.25">
      <c r="A550" s="62">
        <v>549</v>
      </c>
      <c r="B550" s="221"/>
      <c r="C550" s="221"/>
      <c r="D550" s="223"/>
      <c r="E550" s="54"/>
      <c r="F550" s="16">
        <v>84.964285714285708</v>
      </c>
      <c r="G550" s="8">
        <v>7.8928571428571432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17">
        <v>0</v>
      </c>
      <c r="T550" s="8">
        <v>7.1428571428571423</v>
      </c>
      <c r="U550" s="8">
        <v>0</v>
      </c>
      <c r="V550" s="8">
        <v>0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14">
        <f t="shared" si="40"/>
        <v>99.999999999999986</v>
      </c>
      <c r="AE550" s="8">
        <v>0</v>
      </c>
      <c r="AF550" s="8">
        <v>0</v>
      </c>
      <c r="AG550" s="8">
        <v>0</v>
      </c>
      <c r="AH550" s="8">
        <v>0</v>
      </c>
      <c r="AJ550" s="7"/>
      <c r="AK550" s="93">
        <v>1373</v>
      </c>
      <c r="AL550" s="158"/>
      <c r="AM550" s="85"/>
      <c r="AN550" s="85"/>
      <c r="AO550" s="85"/>
      <c r="AP550" s="85"/>
      <c r="AQ550" s="85"/>
      <c r="AR550" s="85"/>
      <c r="AS550" s="85"/>
      <c r="AT550" s="205"/>
      <c r="AU550" s="85"/>
      <c r="AV550" s="196"/>
      <c r="AW550" s="85"/>
      <c r="AX550" s="85"/>
      <c r="AY550" s="39"/>
      <c r="AZ550" s="7"/>
      <c r="BA550" s="62"/>
      <c r="BB550" s="7"/>
      <c r="BC550" s="7"/>
      <c r="BD550" s="7"/>
      <c r="BE550" s="7"/>
      <c r="BF550" s="39">
        <v>1.7</v>
      </c>
      <c r="BG550" s="7">
        <v>4.2</v>
      </c>
      <c r="BH550" s="62">
        <v>185</v>
      </c>
      <c r="BI550" s="7"/>
      <c r="BJ550" s="32"/>
      <c r="BK550" s="256"/>
    </row>
    <row r="551" spans="1:63" ht="23.25" customHeight="1" thickBot="1" x14ac:dyDescent="0.25">
      <c r="A551" s="7">
        <v>550</v>
      </c>
      <c r="B551" s="222"/>
      <c r="C551" s="222"/>
      <c r="D551" s="224"/>
      <c r="E551" s="54"/>
      <c r="F551" s="16">
        <v>84.964285714285708</v>
      </c>
      <c r="G551" s="8">
        <v>7.8928571428571432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17">
        <v>0</v>
      </c>
      <c r="T551" s="8">
        <v>7.1428571428571423</v>
      </c>
      <c r="U551" s="8">
        <v>0</v>
      </c>
      <c r="V551" s="8">
        <v>0</v>
      </c>
      <c r="W551" s="8">
        <v>0</v>
      </c>
      <c r="X551" s="8">
        <v>0</v>
      </c>
      <c r="Y551" s="8">
        <v>0</v>
      </c>
      <c r="Z551" s="8">
        <v>0</v>
      </c>
      <c r="AA551" s="8">
        <v>0</v>
      </c>
      <c r="AB551" s="8">
        <v>0</v>
      </c>
      <c r="AC551" s="8">
        <v>0</v>
      </c>
      <c r="AD551" s="14">
        <f t="shared" si="40"/>
        <v>99.999999999999986</v>
      </c>
      <c r="AE551" s="8">
        <v>0</v>
      </c>
      <c r="AF551" s="8">
        <v>0</v>
      </c>
      <c r="AG551" s="8">
        <v>0</v>
      </c>
      <c r="AH551" s="8">
        <v>0</v>
      </c>
      <c r="AJ551" s="7"/>
      <c r="AK551" s="93">
        <v>1333</v>
      </c>
      <c r="AL551" s="158"/>
      <c r="AM551" s="85"/>
      <c r="AN551" s="85"/>
      <c r="AO551" s="85"/>
      <c r="AP551" s="85"/>
      <c r="AQ551" s="85"/>
      <c r="AR551" s="85"/>
      <c r="AS551" s="85"/>
      <c r="AT551" s="205"/>
      <c r="AU551" s="85"/>
      <c r="AV551" s="196"/>
      <c r="AW551" s="85"/>
      <c r="AX551" s="85"/>
      <c r="AY551" s="39"/>
      <c r="AZ551" s="7"/>
      <c r="BA551" s="62"/>
      <c r="BB551" s="7"/>
      <c r="BC551" s="7"/>
      <c r="BD551" s="7"/>
      <c r="BE551" s="7"/>
      <c r="BF551" s="39">
        <v>1.7</v>
      </c>
      <c r="BG551" s="7">
        <v>3.5</v>
      </c>
      <c r="BH551" s="62">
        <v>185.7</v>
      </c>
      <c r="BI551" s="7"/>
      <c r="BJ551" s="32"/>
      <c r="BK551" s="256"/>
    </row>
    <row r="552" spans="1:63" s="4" customFormat="1" ht="23.25" customHeight="1" thickBot="1" x14ac:dyDescent="0.25">
      <c r="A552" s="62">
        <v>551</v>
      </c>
      <c r="B552" s="238">
        <v>603</v>
      </c>
      <c r="C552" s="238" t="s">
        <v>1806</v>
      </c>
      <c r="D552" s="225" t="s">
        <v>461</v>
      </c>
      <c r="E552" s="12" t="s">
        <v>334</v>
      </c>
      <c r="F552" s="87">
        <v>81.428571428571431</v>
      </c>
      <c r="G552" s="88">
        <v>11.428571428571429</v>
      </c>
      <c r="H552" s="88">
        <v>0</v>
      </c>
      <c r="I552" s="88">
        <v>0</v>
      </c>
      <c r="J552" s="88">
        <v>0</v>
      </c>
      <c r="K552" s="88">
        <v>0</v>
      </c>
      <c r="L552" s="88">
        <v>0</v>
      </c>
      <c r="M552" s="88">
        <v>0</v>
      </c>
      <c r="N552" s="88">
        <v>0</v>
      </c>
      <c r="O552" s="88">
        <v>0</v>
      </c>
      <c r="P552" s="88">
        <v>0</v>
      </c>
      <c r="Q552" s="88">
        <v>0</v>
      </c>
      <c r="R552" s="88">
        <v>0</v>
      </c>
      <c r="S552" s="89">
        <v>0</v>
      </c>
      <c r="T552" s="88">
        <v>7.1428571428571423</v>
      </c>
      <c r="U552" s="88">
        <v>0</v>
      </c>
      <c r="V552" s="88">
        <v>0</v>
      </c>
      <c r="W552" s="88">
        <v>0</v>
      </c>
      <c r="X552" s="88">
        <v>0</v>
      </c>
      <c r="Y552" s="88">
        <v>0</v>
      </c>
      <c r="Z552" s="88">
        <v>0</v>
      </c>
      <c r="AA552" s="88">
        <v>0</v>
      </c>
      <c r="AB552" s="88">
        <v>0</v>
      </c>
      <c r="AC552" s="88">
        <v>0</v>
      </c>
      <c r="AD552" s="90">
        <f t="shared" si="40"/>
        <v>100</v>
      </c>
      <c r="AE552" s="88">
        <v>0</v>
      </c>
      <c r="AF552" s="88">
        <v>0</v>
      </c>
      <c r="AG552" s="88">
        <v>0</v>
      </c>
      <c r="AH552" s="88">
        <v>0</v>
      </c>
      <c r="AI552" s="156" t="s">
        <v>1529</v>
      </c>
      <c r="AJ552" s="45">
        <v>0.33</v>
      </c>
      <c r="AK552" s="91">
        <v>1273</v>
      </c>
      <c r="AL552" s="209">
        <f>93.8/97.6*100</f>
        <v>96.106557377049185</v>
      </c>
      <c r="AM552" s="210">
        <f>3.8/97.6*100</f>
        <v>3.8934426229508197</v>
      </c>
      <c r="AN552" s="189"/>
      <c r="AO552" s="189"/>
      <c r="AP552" s="189"/>
      <c r="AQ552" s="189"/>
      <c r="AR552" s="189"/>
      <c r="AS552" s="189"/>
      <c r="AT552" s="198"/>
      <c r="AU552" s="189">
        <v>0</v>
      </c>
      <c r="AV552" s="199">
        <f t="shared" ref="AV552:AV555" si="41">SUM(AL552:AT552)</f>
        <v>100</v>
      </c>
      <c r="AW552" s="189">
        <v>11.476000000000001</v>
      </c>
      <c r="AX552" s="189"/>
      <c r="AY552" s="156"/>
      <c r="AZ552" s="45">
        <v>202</v>
      </c>
      <c r="BA552" s="91"/>
      <c r="BB552" s="45" t="s">
        <v>894</v>
      </c>
      <c r="BC552" s="189" t="s">
        <v>1504</v>
      </c>
      <c r="BD552" s="45" t="s">
        <v>895</v>
      </c>
      <c r="BE552" s="45" t="s">
        <v>898</v>
      </c>
      <c r="BF552" s="156"/>
      <c r="BG552" s="45"/>
      <c r="BH552" s="91"/>
      <c r="BI552" s="45"/>
      <c r="BJ552" s="67"/>
      <c r="BK552" s="256"/>
    </row>
    <row r="553" spans="1:63" ht="23.25" customHeight="1" thickBot="1" x14ac:dyDescent="0.25">
      <c r="A553" s="7">
        <v>552</v>
      </c>
      <c r="B553" s="221"/>
      <c r="C553" s="221"/>
      <c r="D553" s="223"/>
      <c r="E553" s="54" t="s">
        <v>305</v>
      </c>
      <c r="F553" s="16">
        <v>78.171428571428564</v>
      </c>
      <c r="G553" s="8">
        <v>11.428571428571431</v>
      </c>
      <c r="H553" s="8">
        <v>0</v>
      </c>
      <c r="I553" s="8">
        <v>0</v>
      </c>
      <c r="J553" s="8">
        <v>3.2571428571428576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17">
        <v>0</v>
      </c>
      <c r="T553" s="8">
        <v>7.1428571428571441</v>
      </c>
      <c r="U553" s="8">
        <v>0</v>
      </c>
      <c r="V553" s="8">
        <v>0</v>
      </c>
      <c r="W553" s="8">
        <v>0</v>
      </c>
      <c r="X553" s="8">
        <v>0</v>
      </c>
      <c r="Y553" s="8">
        <v>0</v>
      </c>
      <c r="Z553" s="8">
        <v>0</v>
      </c>
      <c r="AA553" s="8">
        <v>0</v>
      </c>
      <c r="AB553" s="8">
        <v>0</v>
      </c>
      <c r="AC553" s="8">
        <v>0</v>
      </c>
      <c r="AD553" s="14">
        <f t="shared" si="40"/>
        <v>99.999999999999986</v>
      </c>
      <c r="AE553" s="8">
        <v>0</v>
      </c>
      <c r="AF553" s="8">
        <v>0</v>
      </c>
      <c r="AG553" s="8">
        <v>0</v>
      </c>
      <c r="AH553" s="8">
        <v>0</v>
      </c>
      <c r="AI553" s="39" t="s">
        <v>1529</v>
      </c>
      <c r="AJ553" s="7">
        <v>0.33</v>
      </c>
      <c r="AK553" s="62">
        <v>1273</v>
      </c>
      <c r="AL553" s="193">
        <f>96.9/98.4*100</f>
        <v>98.475609756097555</v>
      </c>
      <c r="AM553" s="192">
        <f>1.5/98.4*100</f>
        <v>1.524390243902439</v>
      </c>
      <c r="AN553" s="85"/>
      <c r="AO553" s="85"/>
      <c r="AP553" s="85"/>
      <c r="AQ553" s="85"/>
      <c r="AR553" s="85"/>
      <c r="AS553" s="85"/>
      <c r="AT553" s="205"/>
      <c r="AU553" s="85">
        <v>0</v>
      </c>
      <c r="AV553" s="196">
        <f t="shared" si="41"/>
        <v>100</v>
      </c>
      <c r="AW553" s="85">
        <v>11.468999999999999</v>
      </c>
      <c r="AX553" s="85"/>
      <c r="AY553" s="39"/>
      <c r="AZ553" s="7">
        <v>250</v>
      </c>
      <c r="BA553" s="62"/>
      <c r="BB553" s="7" t="s">
        <v>894</v>
      </c>
      <c r="BC553" s="85" t="s">
        <v>1505</v>
      </c>
      <c r="BD553" s="7" t="s">
        <v>896</v>
      </c>
      <c r="BE553" s="7" t="s">
        <v>899</v>
      </c>
      <c r="BF553" s="39"/>
      <c r="BG553" s="7"/>
      <c r="BH553" s="62"/>
      <c r="BI553" s="7"/>
      <c r="BJ553" s="32"/>
      <c r="BK553" s="256"/>
    </row>
    <row r="554" spans="1:63" ht="23.25" customHeight="1" thickBot="1" x14ac:dyDescent="0.25">
      <c r="A554" s="62">
        <v>553</v>
      </c>
      <c r="B554" s="221"/>
      <c r="C554" s="221"/>
      <c r="D554" s="223"/>
      <c r="E554" s="54" t="s">
        <v>308</v>
      </c>
      <c r="F554" s="16">
        <v>74.914285714285711</v>
      </c>
      <c r="G554" s="8">
        <v>11.428571428571429</v>
      </c>
      <c r="H554" s="8">
        <v>0</v>
      </c>
      <c r="I554" s="8">
        <v>0</v>
      </c>
      <c r="J554" s="8">
        <v>6.5142857142857142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17">
        <v>0</v>
      </c>
      <c r="T554" s="8">
        <v>7.1428571428571423</v>
      </c>
      <c r="U554" s="8">
        <v>0</v>
      </c>
      <c r="V554" s="8">
        <v>0</v>
      </c>
      <c r="W554" s="8">
        <v>0</v>
      </c>
      <c r="X554" s="8">
        <v>0</v>
      </c>
      <c r="Y554" s="8">
        <v>0</v>
      </c>
      <c r="Z554" s="8">
        <v>0</v>
      </c>
      <c r="AA554" s="8">
        <v>0</v>
      </c>
      <c r="AB554" s="8">
        <v>0</v>
      </c>
      <c r="AC554" s="8">
        <v>0</v>
      </c>
      <c r="AD554" s="14">
        <f t="shared" si="40"/>
        <v>100</v>
      </c>
      <c r="AE554" s="8">
        <v>0</v>
      </c>
      <c r="AF554" s="8">
        <v>0</v>
      </c>
      <c r="AG554" s="8">
        <v>0</v>
      </c>
      <c r="AH554" s="8">
        <v>0</v>
      </c>
      <c r="AI554" s="39" t="s">
        <v>1529</v>
      </c>
      <c r="AJ554" s="7">
        <v>0.33</v>
      </c>
      <c r="AK554" s="62">
        <v>1273</v>
      </c>
      <c r="AL554" s="193">
        <f>95.4/97.7*100</f>
        <v>97.645854657113617</v>
      </c>
      <c r="AM554" s="192">
        <f>2.3/97.7*100</f>
        <v>2.3541453428863863</v>
      </c>
      <c r="AN554" s="85"/>
      <c r="AO554" s="85"/>
      <c r="AP554" s="85"/>
      <c r="AQ554" s="85"/>
      <c r="AR554" s="85"/>
      <c r="AS554" s="85"/>
      <c r="AT554" s="205"/>
      <c r="AU554" s="85">
        <v>0</v>
      </c>
      <c r="AV554" s="196">
        <f t="shared" si="41"/>
        <v>100</v>
      </c>
      <c r="AW554" s="85"/>
      <c r="AX554" s="85">
        <v>11.488</v>
      </c>
      <c r="AY554" s="39">
        <v>0</v>
      </c>
      <c r="AZ554" s="7">
        <v>306</v>
      </c>
      <c r="BA554" s="62"/>
      <c r="BB554" s="7" t="s">
        <v>894</v>
      </c>
      <c r="BC554" s="85" t="s">
        <v>1506</v>
      </c>
      <c r="BD554" s="7" t="s">
        <v>897</v>
      </c>
      <c r="BE554" s="7" t="s">
        <v>900</v>
      </c>
      <c r="BF554" s="39"/>
      <c r="BG554" s="7"/>
      <c r="BH554" s="62"/>
      <c r="BI554" s="7"/>
      <c r="BJ554" s="32"/>
      <c r="BK554" s="256"/>
    </row>
    <row r="555" spans="1:63" s="6" customFormat="1" ht="23.25" customHeight="1" thickBot="1" x14ac:dyDescent="0.25">
      <c r="A555" s="7">
        <v>554</v>
      </c>
      <c r="B555" s="222"/>
      <c r="C555" s="222"/>
      <c r="D555" s="224"/>
      <c r="E555" s="13" t="s">
        <v>385</v>
      </c>
      <c r="F555" s="80">
        <v>71.657142857142858</v>
      </c>
      <c r="G555" s="81">
        <v>11.428571428571429</v>
      </c>
      <c r="H555" s="81">
        <v>0</v>
      </c>
      <c r="I555" s="81">
        <v>0</v>
      </c>
      <c r="J555" s="81">
        <v>9.7714285714285705</v>
      </c>
      <c r="K555" s="81">
        <v>0</v>
      </c>
      <c r="L555" s="81">
        <v>0</v>
      </c>
      <c r="M555" s="81">
        <v>0</v>
      </c>
      <c r="N555" s="81">
        <v>0</v>
      </c>
      <c r="O555" s="81">
        <v>0</v>
      </c>
      <c r="P555" s="81">
        <v>0</v>
      </c>
      <c r="Q555" s="81">
        <v>0</v>
      </c>
      <c r="R555" s="81">
        <v>0</v>
      </c>
      <c r="S555" s="82">
        <v>0</v>
      </c>
      <c r="T555" s="81">
        <v>7.1428571428571423</v>
      </c>
      <c r="U555" s="81">
        <v>0</v>
      </c>
      <c r="V555" s="81">
        <v>0</v>
      </c>
      <c r="W555" s="81">
        <v>0</v>
      </c>
      <c r="X555" s="81">
        <v>0</v>
      </c>
      <c r="Y555" s="81">
        <v>0</v>
      </c>
      <c r="Z555" s="81">
        <v>0</v>
      </c>
      <c r="AA555" s="81">
        <v>0</v>
      </c>
      <c r="AB555" s="81">
        <v>0</v>
      </c>
      <c r="AC555" s="81">
        <v>0</v>
      </c>
      <c r="AD555" s="83">
        <f t="shared" si="40"/>
        <v>100</v>
      </c>
      <c r="AE555" s="81">
        <v>0</v>
      </c>
      <c r="AF555" s="81">
        <v>0</v>
      </c>
      <c r="AG555" s="81">
        <v>0</v>
      </c>
      <c r="AH555" s="81">
        <v>0</v>
      </c>
      <c r="AI555" s="79" t="s">
        <v>1529</v>
      </c>
      <c r="AJ555" s="65">
        <v>0.33</v>
      </c>
      <c r="AK555" s="78">
        <v>1273</v>
      </c>
      <c r="AL555" s="213">
        <f>96.9/98.4*100</f>
        <v>98.475609756097555</v>
      </c>
      <c r="AM555" s="214">
        <f>1.5/98.4*100</f>
        <v>1.524390243902439</v>
      </c>
      <c r="AN555" s="190"/>
      <c r="AO555" s="190"/>
      <c r="AP555" s="190"/>
      <c r="AQ555" s="190"/>
      <c r="AR555" s="190"/>
      <c r="AS555" s="190"/>
      <c r="AT555" s="201"/>
      <c r="AU555" s="190">
        <v>0</v>
      </c>
      <c r="AV555" s="202">
        <f t="shared" si="41"/>
        <v>100</v>
      </c>
      <c r="AW555" s="190"/>
      <c r="AX555" s="190">
        <v>11.509</v>
      </c>
      <c r="AY555" s="79">
        <v>0</v>
      </c>
      <c r="AZ555" s="65">
        <v>354</v>
      </c>
      <c r="BA555" s="78"/>
      <c r="BB555" s="65"/>
      <c r="BC555" s="65"/>
      <c r="BD555" s="65"/>
      <c r="BE555" s="65"/>
      <c r="BF555" s="79"/>
      <c r="BG555" s="65"/>
      <c r="BH555" s="78"/>
      <c r="BI555" s="65"/>
      <c r="BJ555" s="68"/>
      <c r="BK555" s="256"/>
    </row>
    <row r="556" spans="1:63" ht="23.25" customHeight="1" thickBot="1" x14ac:dyDescent="0.25">
      <c r="A556" s="62">
        <v>555</v>
      </c>
      <c r="B556" s="238">
        <v>54</v>
      </c>
      <c r="C556" s="238" t="s">
        <v>1825</v>
      </c>
      <c r="D556" s="54" t="s">
        <v>459</v>
      </c>
      <c r="E556" s="54"/>
      <c r="F556" s="16">
        <v>83.571428571428569</v>
      </c>
      <c r="G556" s="8">
        <v>9.2857142857142865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17">
        <v>0</v>
      </c>
      <c r="T556" s="8">
        <v>7.1428571428571423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8">
        <v>0</v>
      </c>
      <c r="AA556" s="8">
        <v>0</v>
      </c>
      <c r="AB556" s="8">
        <v>0</v>
      </c>
      <c r="AC556" s="8">
        <v>0</v>
      </c>
      <c r="AD556" s="14">
        <f t="shared" si="40"/>
        <v>100</v>
      </c>
      <c r="AE556" s="8">
        <v>0</v>
      </c>
      <c r="AF556" s="8">
        <v>0</v>
      </c>
      <c r="AG556" s="8">
        <f>1.3/14*100</f>
        <v>9.2857142857142865</v>
      </c>
      <c r="AH556" s="8">
        <v>0</v>
      </c>
      <c r="AI556" s="39" t="s">
        <v>1531</v>
      </c>
      <c r="AJ556" s="7">
        <v>360</v>
      </c>
      <c r="AK556" s="62">
        <v>1323</v>
      </c>
      <c r="AL556" s="158"/>
      <c r="AM556" s="85"/>
      <c r="AN556" s="85"/>
      <c r="AO556" s="85"/>
      <c r="AP556" s="85"/>
      <c r="AQ556" s="85"/>
      <c r="AR556" s="85"/>
      <c r="AS556" s="85"/>
      <c r="AT556" s="205"/>
      <c r="AU556" s="85"/>
      <c r="AV556" s="196"/>
      <c r="AW556" s="85">
        <v>11.467000000000001</v>
      </c>
      <c r="AX556" s="85"/>
      <c r="AY556" s="39"/>
      <c r="AZ556" s="7">
        <v>230</v>
      </c>
      <c r="BA556" s="62"/>
      <c r="BB556" s="7" t="s">
        <v>519</v>
      </c>
      <c r="BC556" s="7" t="s">
        <v>910</v>
      </c>
      <c r="BD556" s="85" t="s">
        <v>1903</v>
      </c>
      <c r="BE556" s="7" t="s">
        <v>1902</v>
      </c>
      <c r="BF556" s="39"/>
      <c r="BG556" s="7"/>
      <c r="BH556" s="62"/>
      <c r="BI556" s="7"/>
      <c r="BJ556" s="32"/>
      <c r="BK556" s="257" t="s">
        <v>1908</v>
      </c>
    </row>
    <row r="557" spans="1:63" ht="23.25" customHeight="1" thickBot="1" x14ac:dyDescent="0.25">
      <c r="A557" s="7">
        <v>556</v>
      </c>
      <c r="B557" s="222"/>
      <c r="C557" s="222"/>
      <c r="D557" s="54" t="s">
        <v>61</v>
      </c>
      <c r="E557" s="54"/>
      <c r="F557" s="16">
        <v>83.571428571428569</v>
      </c>
      <c r="G557" s="8">
        <v>9.2857142857142865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17">
        <v>0</v>
      </c>
      <c r="T557" s="8">
        <v>7.1428571428571423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  <c r="Z557" s="8">
        <v>0</v>
      </c>
      <c r="AA557" s="8">
        <v>0</v>
      </c>
      <c r="AB557" s="8">
        <v>0</v>
      </c>
      <c r="AC557" s="8">
        <v>0</v>
      </c>
      <c r="AD557" s="14">
        <f t="shared" si="40"/>
        <v>100</v>
      </c>
      <c r="AE557" s="8">
        <v>0</v>
      </c>
      <c r="AF557" s="8">
        <v>0</v>
      </c>
      <c r="AG557" s="8">
        <v>0</v>
      </c>
      <c r="AH557" s="8">
        <v>0</v>
      </c>
      <c r="AI557" s="39" t="s">
        <v>1531</v>
      </c>
      <c r="AJ557" s="7">
        <v>360</v>
      </c>
      <c r="AK557" s="62">
        <v>1323</v>
      </c>
      <c r="AL557" s="158"/>
      <c r="AM557" s="85"/>
      <c r="AN557" s="85"/>
      <c r="AO557" s="85"/>
      <c r="AP557" s="85"/>
      <c r="AQ557" s="85"/>
      <c r="AR557" s="85"/>
      <c r="AS557" s="85"/>
      <c r="AT557" s="205"/>
      <c r="AU557" s="85"/>
      <c r="AV557" s="196"/>
      <c r="AW557" s="85">
        <v>11.733000000000001</v>
      </c>
      <c r="AX557" s="85"/>
      <c r="AY557" s="39"/>
      <c r="AZ557" s="7">
        <v>195</v>
      </c>
      <c r="BA557" s="62"/>
      <c r="BB557" s="7" t="s">
        <v>519</v>
      </c>
      <c r="BC557" s="85" t="s">
        <v>1958</v>
      </c>
      <c r="BD557" s="7" t="s">
        <v>911</v>
      </c>
      <c r="BE557" s="7" t="s">
        <v>912</v>
      </c>
      <c r="BF557" s="39"/>
      <c r="BG557" s="7"/>
      <c r="BH557" s="62"/>
      <c r="BI557" s="7"/>
      <c r="BJ557" s="32"/>
      <c r="BK557" s="256"/>
    </row>
    <row r="558" spans="1:63" s="4" customFormat="1" ht="23.25" customHeight="1" thickBot="1" x14ac:dyDescent="0.25">
      <c r="A558" s="62">
        <v>557</v>
      </c>
      <c r="B558" s="238">
        <v>609</v>
      </c>
      <c r="C558" s="238" t="s">
        <v>1807</v>
      </c>
      <c r="D558" s="225" t="s">
        <v>10</v>
      </c>
      <c r="E558" s="12"/>
      <c r="F558" s="87">
        <v>82.142857142857139</v>
      </c>
      <c r="G558" s="88">
        <v>10.714285714285714</v>
      </c>
      <c r="H558" s="88">
        <v>0</v>
      </c>
      <c r="I558" s="88">
        <v>0</v>
      </c>
      <c r="J558" s="88">
        <v>0</v>
      </c>
      <c r="K558" s="88">
        <v>0</v>
      </c>
      <c r="L558" s="88">
        <v>0</v>
      </c>
      <c r="M558" s="88">
        <v>0</v>
      </c>
      <c r="N558" s="88">
        <v>0</v>
      </c>
      <c r="O558" s="88">
        <v>0</v>
      </c>
      <c r="P558" s="88">
        <v>0</v>
      </c>
      <c r="Q558" s="88">
        <v>0</v>
      </c>
      <c r="R558" s="88">
        <v>0</v>
      </c>
      <c r="S558" s="89">
        <v>0</v>
      </c>
      <c r="T558" s="88">
        <v>7.1428571428571423</v>
      </c>
      <c r="U558" s="88">
        <v>0</v>
      </c>
      <c r="V558" s="88">
        <v>0</v>
      </c>
      <c r="W558" s="88">
        <v>0</v>
      </c>
      <c r="X558" s="88">
        <v>0</v>
      </c>
      <c r="Y558" s="88">
        <v>0</v>
      </c>
      <c r="Z558" s="88">
        <v>0</v>
      </c>
      <c r="AA558" s="88">
        <v>0</v>
      </c>
      <c r="AB558" s="88">
        <v>0</v>
      </c>
      <c r="AC558" s="88">
        <v>0</v>
      </c>
      <c r="AD558" s="90">
        <f t="shared" si="40"/>
        <v>99.999999999999986</v>
      </c>
      <c r="AE558" s="88">
        <v>0</v>
      </c>
      <c r="AF558" s="88">
        <v>0</v>
      </c>
      <c r="AG558" s="88">
        <v>0</v>
      </c>
      <c r="AH558" s="88">
        <v>0</v>
      </c>
      <c r="AI558" s="156" t="s">
        <v>1531</v>
      </c>
      <c r="AJ558" s="45">
        <v>336</v>
      </c>
      <c r="AK558" s="91">
        <v>1323</v>
      </c>
      <c r="AL558" s="197">
        <v>80.7</v>
      </c>
      <c r="AM558" s="189">
        <v>13.6</v>
      </c>
      <c r="AN558" s="189">
        <v>5.7</v>
      </c>
      <c r="AO558" s="189"/>
      <c r="AP558" s="189"/>
      <c r="AQ558" s="189"/>
      <c r="AR558" s="189"/>
      <c r="AS558" s="189"/>
      <c r="AT558" s="198"/>
      <c r="AU558" s="189">
        <v>0</v>
      </c>
      <c r="AV558" s="199">
        <f>SUM(AL558:AT558)</f>
        <v>100</v>
      </c>
      <c r="AW558" s="189"/>
      <c r="AX558" s="189"/>
      <c r="AY558" s="156"/>
      <c r="AZ558" s="45"/>
      <c r="BA558" s="91"/>
      <c r="BB558" s="45"/>
      <c r="BC558" s="45"/>
      <c r="BD558" s="45"/>
      <c r="BE558" s="45"/>
      <c r="BF558" s="156"/>
      <c r="BG558" s="45"/>
      <c r="BH558" s="91"/>
      <c r="BI558" s="45"/>
      <c r="BJ558" s="67"/>
      <c r="BK558" s="256"/>
    </row>
    <row r="559" spans="1:63" s="6" customFormat="1" ht="23.25" customHeight="1" thickBot="1" x14ac:dyDescent="0.25">
      <c r="A559" s="7">
        <v>558</v>
      </c>
      <c r="B559" s="222"/>
      <c r="C559" s="222"/>
      <c r="D559" s="224"/>
      <c r="E559" s="13"/>
      <c r="F559" s="80">
        <v>82.142857142857139</v>
      </c>
      <c r="G559" s="81">
        <v>10.714285714285714</v>
      </c>
      <c r="H559" s="81">
        <v>0</v>
      </c>
      <c r="I559" s="81">
        <v>0</v>
      </c>
      <c r="J559" s="81">
        <v>0</v>
      </c>
      <c r="K559" s="81">
        <v>0</v>
      </c>
      <c r="L559" s="81">
        <v>0</v>
      </c>
      <c r="M559" s="81">
        <v>0</v>
      </c>
      <c r="N559" s="81">
        <v>0</v>
      </c>
      <c r="O559" s="81">
        <v>0</v>
      </c>
      <c r="P559" s="81">
        <v>0</v>
      </c>
      <c r="Q559" s="81">
        <v>0</v>
      </c>
      <c r="R559" s="81">
        <v>0</v>
      </c>
      <c r="S559" s="82">
        <v>0</v>
      </c>
      <c r="T559" s="81">
        <v>7.1428571428571423</v>
      </c>
      <c r="U559" s="81">
        <v>0</v>
      </c>
      <c r="V559" s="81">
        <v>0</v>
      </c>
      <c r="W559" s="81">
        <v>0</v>
      </c>
      <c r="X559" s="81">
        <v>0</v>
      </c>
      <c r="Y559" s="81">
        <v>0</v>
      </c>
      <c r="Z559" s="81">
        <v>0</v>
      </c>
      <c r="AA559" s="81">
        <v>0</v>
      </c>
      <c r="AB559" s="81">
        <v>0</v>
      </c>
      <c r="AC559" s="81">
        <v>0</v>
      </c>
      <c r="AD559" s="83">
        <f t="shared" si="40"/>
        <v>99.999999999999986</v>
      </c>
      <c r="AE559" s="81">
        <v>0</v>
      </c>
      <c r="AF559" s="81">
        <v>0</v>
      </c>
      <c r="AG559" s="81">
        <v>0</v>
      </c>
      <c r="AH559" s="81">
        <v>0</v>
      </c>
      <c r="AI559" s="79" t="s">
        <v>1531</v>
      </c>
      <c r="AJ559" s="65">
        <v>4</v>
      </c>
      <c r="AK559" s="78">
        <v>1523</v>
      </c>
      <c r="AL559" s="200">
        <v>83.3</v>
      </c>
      <c r="AM559" s="190">
        <v>16.7</v>
      </c>
      <c r="AN559" s="190">
        <v>0</v>
      </c>
      <c r="AO559" s="190"/>
      <c r="AP559" s="190"/>
      <c r="AQ559" s="190"/>
      <c r="AR559" s="190"/>
      <c r="AS559" s="190"/>
      <c r="AT559" s="201"/>
      <c r="AU559" s="190">
        <v>0</v>
      </c>
      <c r="AV559" s="202">
        <f>SUM(AL559:AT559)</f>
        <v>100</v>
      </c>
      <c r="AW559" s="190"/>
      <c r="AX559" s="190"/>
      <c r="AY559" s="79"/>
      <c r="AZ559" s="65"/>
      <c r="BA559" s="78"/>
      <c r="BB559" s="65"/>
      <c r="BC559" s="65"/>
      <c r="BD559" s="65"/>
      <c r="BE559" s="65"/>
      <c r="BF559" s="79"/>
      <c r="BG559" s="65"/>
      <c r="BH559" s="78"/>
      <c r="BI559" s="65"/>
      <c r="BJ559" s="68"/>
      <c r="BK559" s="256"/>
    </row>
    <row r="560" spans="1:63" ht="23.25" customHeight="1" thickBot="1" x14ac:dyDescent="0.25">
      <c r="A560" s="62">
        <v>559</v>
      </c>
      <c r="B560" s="238">
        <v>614</v>
      </c>
      <c r="C560" s="238" t="s">
        <v>1808</v>
      </c>
      <c r="D560" s="54" t="s">
        <v>460</v>
      </c>
      <c r="E560" s="54"/>
      <c r="F560" s="16">
        <v>82.142857142857139</v>
      </c>
      <c r="G560" s="8">
        <v>10.714285714285714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17">
        <v>0</v>
      </c>
      <c r="T560" s="8">
        <v>7.1428571428571423</v>
      </c>
      <c r="U560" s="8">
        <v>0</v>
      </c>
      <c r="V560" s="8">
        <v>0</v>
      </c>
      <c r="W560" s="8">
        <v>0</v>
      </c>
      <c r="X560" s="8">
        <v>0</v>
      </c>
      <c r="Y560" s="8">
        <v>0</v>
      </c>
      <c r="Z560" s="8">
        <v>0</v>
      </c>
      <c r="AA560" s="8">
        <v>0</v>
      </c>
      <c r="AB560" s="8">
        <v>0</v>
      </c>
      <c r="AC560" s="8">
        <v>0</v>
      </c>
      <c r="AD560" s="14">
        <f t="shared" si="40"/>
        <v>99.999999999999986</v>
      </c>
      <c r="AE560" s="8">
        <f>1.19/14*100</f>
        <v>8.5</v>
      </c>
      <c r="AF560" s="8">
        <v>0</v>
      </c>
      <c r="AG560" s="8">
        <v>0</v>
      </c>
      <c r="AH560" s="8">
        <v>0</v>
      </c>
      <c r="AI560" s="39" t="s">
        <v>1528</v>
      </c>
      <c r="AJ560" s="7">
        <v>0.5</v>
      </c>
      <c r="AK560" s="62">
        <v>1423</v>
      </c>
      <c r="AL560" s="158">
        <v>97.1</v>
      </c>
      <c r="AM560" s="85">
        <v>0.5</v>
      </c>
      <c r="AN560" s="85"/>
      <c r="AO560" s="85"/>
      <c r="AP560" s="85"/>
      <c r="AQ560" s="85"/>
      <c r="AR560" s="85"/>
      <c r="AS560" s="85"/>
      <c r="AT560" s="205">
        <v>2.4</v>
      </c>
      <c r="AU560" s="85">
        <v>0</v>
      </c>
      <c r="AV560" s="196">
        <f>SUM(AL560:AT560)</f>
        <v>100</v>
      </c>
      <c r="AW560" s="85">
        <v>11.595000000000001</v>
      </c>
      <c r="AX560" s="85"/>
      <c r="AY560" s="39">
        <v>0.01</v>
      </c>
      <c r="AZ560" s="7">
        <v>329.8</v>
      </c>
      <c r="BA560" s="62"/>
      <c r="BB560" s="7"/>
      <c r="BC560" s="7"/>
      <c r="BD560" s="7"/>
      <c r="BE560" s="7"/>
      <c r="BF560" s="39"/>
      <c r="BG560" s="7"/>
      <c r="BH560" s="62"/>
      <c r="BI560" s="7"/>
      <c r="BJ560" s="32"/>
      <c r="BK560" s="256"/>
    </row>
    <row r="561" spans="1:63" ht="23.25" customHeight="1" thickBot="1" x14ac:dyDescent="0.25">
      <c r="A561" s="7">
        <v>560</v>
      </c>
      <c r="B561" s="221"/>
      <c r="C561" s="221"/>
      <c r="D561" s="139" t="s">
        <v>342</v>
      </c>
      <c r="E561" s="54"/>
      <c r="F561" s="16">
        <v>82.142857142857139</v>
      </c>
      <c r="G561" s="8">
        <v>10.714285714285714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17">
        <v>0</v>
      </c>
      <c r="T561" s="8">
        <v>7.1428571428571423</v>
      </c>
      <c r="U561" s="8">
        <v>0</v>
      </c>
      <c r="V561" s="8">
        <v>0</v>
      </c>
      <c r="W561" s="8">
        <v>0</v>
      </c>
      <c r="X561" s="8">
        <v>0</v>
      </c>
      <c r="Y561" s="8">
        <v>0</v>
      </c>
      <c r="Z561" s="8">
        <v>0</v>
      </c>
      <c r="AA561" s="8">
        <v>0</v>
      </c>
      <c r="AB561" s="8">
        <v>0</v>
      </c>
      <c r="AC561" s="8">
        <v>0</v>
      </c>
      <c r="AD561" s="14">
        <f t="shared" si="40"/>
        <v>99.999999999999986</v>
      </c>
      <c r="AE561" s="8">
        <f>0.7/14*100</f>
        <v>5</v>
      </c>
      <c r="AF561" s="8">
        <v>0</v>
      </c>
      <c r="AG561" s="8">
        <v>0</v>
      </c>
      <c r="AH561" s="8">
        <v>0</v>
      </c>
      <c r="AI561" s="39" t="s">
        <v>1528</v>
      </c>
      <c r="AJ561" s="7">
        <v>0.5</v>
      </c>
      <c r="AK561" s="62">
        <v>1423</v>
      </c>
      <c r="AL561" s="158"/>
      <c r="AM561" s="85"/>
      <c r="AN561" s="85"/>
      <c r="AO561" s="85"/>
      <c r="AP561" s="85"/>
      <c r="AQ561" s="85"/>
      <c r="AR561" s="85"/>
      <c r="AS561" s="85"/>
      <c r="AT561" s="205"/>
      <c r="AU561" s="85"/>
      <c r="AV561" s="196"/>
      <c r="AW561" s="85">
        <v>11.51</v>
      </c>
      <c r="AX561" s="85">
        <v>11.56</v>
      </c>
      <c r="AY561" s="39">
        <v>0.01</v>
      </c>
      <c r="AZ561" s="7">
        <v>264.3</v>
      </c>
      <c r="BA561" s="62"/>
      <c r="BB561" s="7"/>
      <c r="BC561" s="7"/>
      <c r="BD561" s="7"/>
      <c r="BE561" s="7"/>
      <c r="BF561" s="39"/>
      <c r="BG561" s="7"/>
      <c r="BH561" s="62"/>
      <c r="BI561" s="7"/>
      <c r="BJ561" s="32"/>
      <c r="BK561" s="256"/>
    </row>
    <row r="562" spans="1:63" ht="23.25" customHeight="1" thickBot="1" x14ac:dyDescent="0.25">
      <c r="A562" s="62">
        <v>561</v>
      </c>
      <c r="B562" s="221"/>
      <c r="C562" s="221"/>
      <c r="D562" s="139" t="s">
        <v>343</v>
      </c>
      <c r="E562" s="54"/>
      <c r="F562" s="16">
        <v>82.142857142857139</v>
      </c>
      <c r="G562" s="8">
        <v>10.714285714285714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17">
        <v>0</v>
      </c>
      <c r="T562" s="8">
        <v>7.1428571428571423</v>
      </c>
      <c r="U562" s="8">
        <v>0</v>
      </c>
      <c r="V562" s="8">
        <v>0</v>
      </c>
      <c r="W562" s="8">
        <v>0</v>
      </c>
      <c r="X562" s="8">
        <v>0</v>
      </c>
      <c r="Y562" s="8">
        <v>0</v>
      </c>
      <c r="Z562" s="8">
        <v>0</v>
      </c>
      <c r="AA562" s="8">
        <v>0</v>
      </c>
      <c r="AB562" s="8">
        <v>0</v>
      </c>
      <c r="AC562" s="8">
        <v>0</v>
      </c>
      <c r="AD562" s="14">
        <f t="shared" si="40"/>
        <v>99.999999999999986</v>
      </c>
      <c r="AE562" s="8">
        <f>1.49/14*100</f>
        <v>10.642857142857142</v>
      </c>
      <c r="AF562" s="8">
        <v>0</v>
      </c>
      <c r="AG562" s="8">
        <v>0</v>
      </c>
      <c r="AH562" s="8">
        <v>0</v>
      </c>
      <c r="AI562" s="39" t="s">
        <v>1528</v>
      </c>
      <c r="AJ562" s="7">
        <v>0.5</v>
      </c>
      <c r="AK562" s="62">
        <v>1423</v>
      </c>
      <c r="AL562" s="158"/>
      <c r="AM562" s="85"/>
      <c r="AN562" s="85"/>
      <c r="AO562" s="85"/>
      <c r="AP562" s="85"/>
      <c r="AQ562" s="85"/>
      <c r="AR562" s="85"/>
      <c r="AS562" s="85"/>
      <c r="AT562" s="205"/>
      <c r="AU562" s="85"/>
      <c r="AV562" s="196"/>
      <c r="AW562" s="85"/>
      <c r="AX562" s="85"/>
      <c r="AY562" s="39">
        <v>0.01</v>
      </c>
      <c r="AZ562" s="7">
        <v>321</v>
      </c>
      <c r="BA562" s="62"/>
      <c r="BB562" s="7"/>
      <c r="BC562" s="7"/>
      <c r="BD562" s="7"/>
      <c r="BE562" s="7"/>
      <c r="BF562" s="39"/>
      <c r="BG562" s="7"/>
      <c r="BH562" s="62"/>
      <c r="BI562" s="7"/>
      <c r="BJ562" s="32"/>
      <c r="BK562" s="256"/>
    </row>
    <row r="563" spans="1:63" ht="23.25" customHeight="1" thickBot="1" x14ac:dyDescent="0.25">
      <c r="A563" s="7">
        <v>562</v>
      </c>
      <c r="B563" s="221"/>
      <c r="C563" s="221"/>
      <c r="D563" s="54" t="s">
        <v>454</v>
      </c>
      <c r="E563" s="54"/>
      <c r="F563" s="16">
        <f>11.4/14*100</f>
        <v>81.428571428571431</v>
      </c>
      <c r="G563" s="8">
        <f>1.6/14*100</f>
        <v>11.428571428571429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17">
        <v>0</v>
      </c>
      <c r="T563" s="8">
        <v>7.1428571428571423</v>
      </c>
      <c r="U563" s="8">
        <v>0</v>
      </c>
      <c r="V563" s="8">
        <v>0</v>
      </c>
      <c r="W563" s="8">
        <v>0</v>
      </c>
      <c r="X563" s="8">
        <v>0</v>
      </c>
      <c r="Y563" s="8">
        <v>0</v>
      </c>
      <c r="Z563" s="8">
        <v>0</v>
      </c>
      <c r="AA563" s="8">
        <v>0</v>
      </c>
      <c r="AB563" s="8">
        <v>0</v>
      </c>
      <c r="AC563" s="8">
        <v>0</v>
      </c>
      <c r="AD563" s="14">
        <f t="shared" si="40"/>
        <v>100</v>
      </c>
      <c r="AE563" s="8">
        <f>0.21/14*100</f>
        <v>1.5</v>
      </c>
      <c r="AF563" s="8">
        <v>0</v>
      </c>
      <c r="AG563" s="8">
        <v>0</v>
      </c>
      <c r="AH563" s="8">
        <v>0</v>
      </c>
      <c r="AI563" s="39" t="s">
        <v>1528</v>
      </c>
      <c r="AJ563" s="7">
        <v>0.5</v>
      </c>
      <c r="AK563" s="62">
        <v>1423</v>
      </c>
      <c r="AL563" s="158"/>
      <c r="AM563" s="85"/>
      <c r="AN563" s="85"/>
      <c r="AO563" s="85"/>
      <c r="AP563" s="85"/>
      <c r="AQ563" s="85"/>
      <c r="AR563" s="85"/>
      <c r="AS563" s="85"/>
      <c r="AT563" s="205"/>
      <c r="AU563" s="85"/>
      <c r="AV563" s="196"/>
      <c r="AW563" s="85"/>
      <c r="AX563" s="85"/>
      <c r="AY563" s="39">
        <v>0.01</v>
      </c>
      <c r="AZ563" s="7">
        <v>234.5</v>
      </c>
      <c r="BA563" s="62"/>
      <c r="BB563" s="7" t="s">
        <v>524</v>
      </c>
      <c r="BC563" s="7" t="s">
        <v>901</v>
      </c>
      <c r="BD563" s="7" t="s">
        <v>904</v>
      </c>
      <c r="BE563" s="7" t="s">
        <v>907</v>
      </c>
      <c r="BF563" s="39"/>
      <c r="BG563" s="7"/>
      <c r="BH563" s="62"/>
      <c r="BI563" s="7"/>
      <c r="BJ563" s="32"/>
      <c r="BK563" s="256"/>
    </row>
    <row r="564" spans="1:63" ht="23.25" customHeight="1" thickBot="1" x14ac:dyDescent="0.25">
      <c r="A564" s="62">
        <v>563</v>
      </c>
      <c r="B564" s="221"/>
      <c r="C564" s="221"/>
      <c r="D564" s="54" t="s">
        <v>455</v>
      </c>
      <c r="E564" s="54"/>
      <c r="F564" s="16">
        <v>81.428571428571431</v>
      </c>
      <c r="G564" s="8">
        <v>11.428571428571429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17">
        <v>0</v>
      </c>
      <c r="T564" s="8">
        <v>7.1428571428571423</v>
      </c>
      <c r="U564" s="8">
        <v>0</v>
      </c>
      <c r="V564" s="8">
        <v>0</v>
      </c>
      <c r="W564" s="8">
        <v>0</v>
      </c>
      <c r="X564" s="8">
        <v>0</v>
      </c>
      <c r="Y564" s="8">
        <v>0</v>
      </c>
      <c r="Z564" s="8">
        <v>0</v>
      </c>
      <c r="AA564" s="8">
        <v>0</v>
      </c>
      <c r="AB564" s="8">
        <v>0</v>
      </c>
      <c r="AC564" s="8">
        <v>0</v>
      </c>
      <c r="AD564" s="14">
        <f t="shared" si="40"/>
        <v>100</v>
      </c>
      <c r="AE564" s="8">
        <f>0.41/14*100</f>
        <v>2.9285714285714284</v>
      </c>
      <c r="AF564" s="8">
        <v>0</v>
      </c>
      <c r="AG564" s="8">
        <v>0</v>
      </c>
      <c r="AH564" s="8">
        <v>0</v>
      </c>
      <c r="AI564" s="39" t="s">
        <v>1528</v>
      </c>
      <c r="AJ564" s="7">
        <v>0.5</v>
      </c>
      <c r="AK564" s="62">
        <v>1423</v>
      </c>
      <c r="AL564" s="158"/>
      <c r="AM564" s="85"/>
      <c r="AN564" s="85"/>
      <c r="AO564" s="85"/>
      <c r="AP564" s="85"/>
      <c r="AQ564" s="85"/>
      <c r="AR564" s="85"/>
      <c r="AS564" s="85"/>
      <c r="AT564" s="205"/>
      <c r="AU564" s="85"/>
      <c r="AV564" s="196"/>
      <c r="AW564" s="85"/>
      <c r="AX564" s="85"/>
      <c r="AY564" s="39">
        <v>0.01</v>
      </c>
      <c r="AZ564" s="7">
        <v>266.60000000000002</v>
      </c>
      <c r="BA564" s="62"/>
      <c r="BB564" s="7" t="s">
        <v>524</v>
      </c>
      <c r="BC564" s="7" t="s">
        <v>902</v>
      </c>
      <c r="BD564" s="7" t="s">
        <v>905</v>
      </c>
      <c r="BE564" s="7" t="s">
        <v>908</v>
      </c>
      <c r="BF564" s="39"/>
      <c r="BG564" s="7"/>
      <c r="BH564" s="62"/>
      <c r="BI564" s="7"/>
      <c r="BJ564" s="32"/>
      <c r="BK564" s="256"/>
    </row>
    <row r="565" spans="1:63" ht="23.25" customHeight="1" thickBot="1" x14ac:dyDescent="0.25">
      <c r="A565" s="7">
        <v>564</v>
      </c>
      <c r="B565" s="221"/>
      <c r="C565" s="221"/>
      <c r="D565" s="54" t="s">
        <v>456</v>
      </c>
      <c r="E565" s="54"/>
      <c r="F565" s="16">
        <v>81.428571428571431</v>
      </c>
      <c r="G565" s="8">
        <v>11.428571428571429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17">
        <v>0</v>
      </c>
      <c r="T565" s="8">
        <v>7.1428571428571423</v>
      </c>
      <c r="U565" s="8">
        <v>0</v>
      </c>
      <c r="V565" s="8">
        <v>0</v>
      </c>
      <c r="W565" s="8">
        <v>0</v>
      </c>
      <c r="X565" s="8">
        <v>0</v>
      </c>
      <c r="Y565" s="8">
        <v>0</v>
      </c>
      <c r="Z565" s="8">
        <v>0</v>
      </c>
      <c r="AA565" s="8">
        <v>0</v>
      </c>
      <c r="AB565" s="8">
        <v>0</v>
      </c>
      <c r="AC565" s="8">
        <v>0</v>
      </c>
      <c r="AD565" s="14">
        <f t="shared" si="40"/>
        <v>100</v>
      </c>
      <c r="AE565" s="8">
        <f>0.86/14*100</f>
        <v>6.1428571428571432</v>
      </c>
      <c r="AF565" s="8">
        <v>0</v>
      </c>
      <c r="AG565" s="8">
        <v>0</v>
      </c>
      <c r="AH565" s="8">
        <v>0</v>
      </c>
      <c r="AI565" s="39" t="s">
        <v>1528</v>
      </c>
      <c r="AJ565" s="7">
        <v>0.5</v>
      </c>
      <c r="AK565" s="62">
        <v>1423</v>
      </c>
      <c r="AL565" s="158"/>
      <c r="AM565" s="85"/>
      <c r="AN565" s="85"/>
      <c r="AO565" s="85"/>
      <c r="AP565" s="85"/>
      <c r="AQ565" s="85"/>
      <c r="AR565" s="85"/>
      <c r="AS565" s="85"/>
      <c r="AT565" s="205"/>
      <c r="AU565" s="85"/>
      <c r="AV565" s="196"/>
      <c r="AW565" s="85"/>
      <c r="AX565" s="85"/>
      <c r="AY565" s="39">
        <v>0.01</v>
      </c>
      <c r="AZ565" s="7">
        <v>281.7</v>
      </c>
      <c r="BA565" s="62"/>
      <c r="BB565" s="7" t="s">
        <v>524</v>
      </c>
      <c r="BC565" s="7" t="s">
        <v>903</v>
      </c>
      <c r="BD565" s="7" t="s">
        <v>906</v>
      </c>
      <c r="BE565" s="7" t="s">
        <v>909</v>
      </c>
      <c r="BF565" s="39"/>
      <c r="BG565" s="7"/>
      <c r="BH565" s="62"/>
      <c r="BI565" s="7"/>
      <c r="BJ565" s="32"/>
      <c r="BK565" s="256"/>
    </row>
    <row r="566" spans="1:63" ht="23.25" customHeight="1" thickBot="1" x14ac:dyDescent="0.25">
      <c r="A566" s="62">
        <v>565</v>
      </c>
      <c r="B566" s="221"/>
      <c r="C566" s="221"/>
      <c r="D566" s="54" t="s">
        <v>0</v>
      </c>
      <c r="E566" s="54"/>
      <c r="F566" s="16">
        <v>81.428571428571431</v>
      </c>
      <c r="G566" s="8">
        <v>11.428571428571429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17">
        <v>0</v>
      </c>
      <c r="T566" s="8">
        <v>7.1428571428571423</v>
      </c>
      <c r="U566" s="8">
        <v>0</v>
      </c>
      <c r="V566" s="8">
        <v>0</v>
      </c>
      <c r="W566" s="8">
        <v>0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0</v>
      </c>
      <c r="AD566" s="14">
        <f t="shared" si="40"/>
        <v>100</v>
      </c>
      <c r="AE566" s="8">
        <v>0</v>
      </c>
      <c r="AF566" s="8">
        <v>0</v>
      </c>
      <c r="AG566" s="8">
        <v>0</v>
      </c>
      <c r="AH566" s="8">
        <v>0</v>
      </c>
      <c r="AI566" s="39" t="s">
        <v>1528</v>
      </c>
      <c r="AJ566" s="7">
        <v>0.5</v>
      </c>
      <c r="AK566" s="62">
        <v>1423</v>
      </c>
      <c r="AL566" s="158"/>
      <c r="AM566" s="85"/>
      <c r="AN566" s="85"/>
      <c r="AO566" s="85"/>
      <c r="AP566" s="85"/>
      <c r="AQ566" s="85"/>
      <c r="AR566" s="85"/>
      <c r="AS566" s="85"/>
      <c r="AT566" s="205"/>
      <c r="AU566" s="85"/>
      <c r="AV566" s="196"/>
      <c r="AW566" s="85"/>
      <c r="AX566" s="85"/>
      <c r="AY566" s="39">
        <v>0.01</v>
      </c>
      <c r="AZ566" s="7">
        <v>203</v>
      </c>
      <c r="BA566" s="62"/>
      <c r="BB566" s="7">
        <v>5</v>
      </c>
      <c r="BC566" s="7">
        <v>22.8</v>
      </c>
      <c r="BD566" s="7">
        <v>219.9</v>
      </c>
      <c r="BE566" s="7">
        <v>14.2</v>
      </c>
      <c r="BF566" s="39"/>
      <c r="BG566" s="7"/>
      <c r="BH566" s="62"/>
      <c r="BI566" s="7"/>
      <c r="BJ566" s="32"/>
      <c r="BK566" s="256"/>
    </row>
    <row r="567" spans="1:63" ht="23.25" customHeight="1" thickBot="1" x14ac:dyDescent="0.25">
      <c r="A567" s="7">
        <v>566</v>
      </c>
      <c r="B567" s="221"/>
      <c r="C567" s="221"/>
      <c r="D567" s="223" t="s">
        <v>457</v>
      </c>
      <c r="E567" s="54" t="s">
        <v>309</v>
      </c>
      <c r="F567" s="16">
        <v>82.142857142857139</v>
      </c>
      <c r="G567" s="8">
        <v>10.714285714285714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17">
        <v>0</v>
      </c>
      <c r="T567" s="8">
        <v>7.1428571428571423</v>
      </c>
      <c r="U567" s="8">
        <v>0</v>
      </c>
      <c r="V567" s="8">
        <v>0</v>
      </c>
      <c r="W567" s="8">
        <v>0</v>
      </c>
      <c r="X567" s="8">
        <v>0</v>
      </c>
      <c r="Y567" s="8">
        <v>0</v>
      </c>
      <c r="Z567" s="8">
        <v>0</v>
      </c>
      <c r="AA567" s="8">
        <v>0</v>
      </c>
      <c r="AB567" s="8">
        <v>0</v>
      </c>
      <c r="AC567" s="8">
        <v>0</v>
      </c>
      <c r="AD567" s="14">
        <f t="shared" si="40"/>
        <v>99.999999999999986</v>
      </c>
      <c r="AE567" s="8">
        <v>0</v>
      </c>
      <c r="AF567" s="8">
        <v>0</v>
      </c>
      <c r="AG567" s="8">
        <v>0</v>
      </c>
      <c r="AH567" s="8">
        <v>0</v>
      </c>
      <c r="AI567" s="39" t="s">
        <v>1528</v>
      </c>
      <c r="AJ567" s="7"/>
      <c r="AK567" s="62"/>
      <c r="AL567" s="158"/>
      <c r="AM567" s="85"/>
      <c r="AN567" s="85"/>
      <c r="AO567" s="85"/>
      <c r="AP567" s="85"/>
      <c r="AQ567" s="85"/>
      <c r="AR567" s="85"/>
      <c r="AS567" s="85"/>
      <c r="AT567" s="205"/>
      <c r="AU567" s="85"/>
      <c r="AV567" s="196"/>
      <c r="AW567" s="85"/>
      <c r="AX567" s="85"/>
      <c r="AY567" s="39">
        <v>0.01</v>
      </c>
      <c r="AZ567" s="7">
        <v>196.6</v>
      </c>
      <c r="BA567" s="62"/>
      <c r="BB567" s="7"/>
      <c r="BC567" s="7"/>
      <c r="BD567" s="7"/>
      <c r="BE567" s="7"/>
      <c r="BF567" s="39"/>
      <c r="BG567" s="7"/>
      <c r="BH567" s="62"/>
      <c r="BI567" s="7"/>
      <c r="BJ567" s="32"/>
      <c r="BK567" s="256"/>
    </row>
    <row r="568" spans="1:63" ht="23.25" customHeight="1" thickBot="1" x14ac:dyDescent="0.25">
      <c r="A568" s="62">
        <v>567</v>
      </c>
      <c r="B568" s="221"/>
      <c r="C568" s="221"/>
      <c r="D568" s="223"/>
      <c r="E568" s="54" t="s">
        <v>466</v>
      </c>
      <c r="F568" s="16">
        <v>82.142857142857139</v>
      </c>
      <c r="G568" s="8">
        <v>10.714285714285714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17">
        <v>0</v>
      </c>
      <c r="T568" s="8">
        <v>7.1428571428571423</v>
      </c>
      <c r="U568" s="8">
        <v>0</v>
      </c>
      <c r="V568" s="8">
        <v>0</v>
      </c>
      <c r="W568" s="8">
        <v>0</v>
      </c>
      <c r="X568" s="8">
        <v>0</v>
      </c>
      <c r="Y568" s="8">
        <v>0</v>
      </c>
      <c r="Z568" s="8">
        <v>0</v>
      </c>
      <c r="AA568" s="8">
        <v>0</v>
      </c>
      <c r="AB568" s="8">
        <v>0</v>
      </c>
      <c r="AC568" s="8">
        <v>0</v>
      </c>
      <c r="AD568" s="14">
        <f t="shared" si="40"/>
        <v>99.999999999999986</v>
      </c>
      <c r="AE568" s="8">
        <v>0</v>
      </c>
      <c r="AF568" s="8">
        <f>0.7/14*100</f>
        <v>5</v>
      </c>
      <c r="AG568" s="8">
        <v>0</v>
      </c>
      <c r="AH568" s="8">
        <v>0</v>
      </c>
      <c r="AI568" s="39" t="s">
        <v>1528</v>
      </c>
      <c r="AJ568" s="7"/>
      <c r="AK568" s="62"/>
      <c r="AL568" s="158"/>
      <c r="AM568" s="85"/>
      <c r="AN568" s="85"/>
      <c r="AO568" s="85"/>
      <c r="AP568" s="85"/>
      <c r="AQ568" s="85"/>
      <c r="AR568" s="85"/>
      <c r="AS568" s="85"/>
      <c r="AT568" s="205"/>
      <c r="AU568" s="85"/>
      <c r="AV568" s="196"/>
      <c r="AW568" s="85">
        <v>11.641999999999999</v>
      </c>
      <c r="AX568" s="85">
        <v>11.651</v>
      </c>
      <c r="AY568" s="39">
        <v>0.01</v>
      </c>
      <c r="AZ568" s="7">
        <v>321.3</v>
      </c>
      <c r="BA568" s="62"/>
      <c r="BB568" s="7"/>
      <c r="BC568" s="7"/>
      <c r="BD568" s="7"/>
      <c r="BE568" s="7"/>
      <c r="BF568" s="39"/>
      <c r="BG568" s="7"/>
      <c r="BH568" s="62"/>
      <c r="BI568" s="7"/>
      <c r="BJ568" s="32"/>
      <c r="BK568" s="256"/>
    </row>
    <row r="569" spans="1:63" ht="23.25" customHeight="1" thickBot="1" x14ac:dyDescent="0.25">
      <c r="A569" s="7">
        <v>568</v>
      </c>
      <c r="B569" s="221"/>
      <c r="C569" s="221"/>
      <c r="D569" s="223" t="s">
        <v>458</v>
      </c>
      <c r="E569" s="54" t="s">
        <v>309</v>
      </c>
      <c r="F569" s="16">
        <v>77.142857142857153</v>
      </c>
      <c r="G569" s="8">
        <v>15.714285714285717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17">
        <v>0</v>
      </c>
      <c r="T569" s="8">
        <v>7.1428571428571423</v>
      </c>
      <c r="U569" s="8">
        <v>0</v>
      </c>
      <c r="V569" s="8">
        <v>0</v>
      </c>
      <c r="W569" s="8">
        <v>0</v>
      </c>
      <c r="X569" s="8">
        <v>0</v>
      </c>
      <c r="Y569" s="8">
        <v>0</v>
      </c>
      <c r="Z569" s="8">
        <v>0</v>
      </c>
      <c r="AA569" s="8">
        <v>0</v>
      </c>
      <c r="AB569" s="8">
        <v>0</v>
      </c>
      <c r="AC569" s="8">
        <v>0</v>
      </c>
      <c r="AD569" s="14">
        <f t="shared" si="40"/>
        <v>100.00000000000001</v>
      </c>
      <c r="AE569" s="8">
        <v>0</v>
      </c>
      <c r="AF569" s="8">
        <v>0</v>
      </c>
      <c r="AG569" s="8">
        <v>0</v>
      </c>
      <c r="AH569" s="8">
        <v>0</v>
      </c>
      <c r="AI569" s="39" t="s">
        <v>1528</v>
      </c>
      <c r="AJ569" s="7"/>
      <c r="AK569" s="62"/>
      <c r="AL569" s="158"/>
      <c r="AM569" s="85"/>
      <c r="AN569" s="85"/>
      <c r="AO569" s="85"/>
      <c r="AP569" s="85"/>
      <c r="AQ569" s="85"/>
      <c r="AR569" s="85"/>
      <c r="AS569" s="85"/>
      <c r="AT569" s="205"/>
      <c r="AU569" s="85"/>
      <c r="AV569" s="196"/>
      <c r="AW569" s="85"/>
      <c r="AX569" s="85"/>
      <c r="AY569" s="39">
        <v>0.01</v>
      </c>
      <c r="AZ569" s="7">
        <v>244.2</v>
      </c>
      <c r="BA569" s="62"/>
      <c r="BB569" s="7">
        <v>2</v>
      </c>
      <c r="BC569" s="7">
        <v>2.2999999999999998</v>
      </c>
      <c r="BD569" s="7">
        <v>241.7</v>
      </c>
      <c r="BE569" s="7">
        <v>63.8</v>
      </c>
      <c r="BF569" s="39"/>
      <c r="BG569" s="7"/>
      <c r="BH569" s="62"/>
      <c r="BI569" s="7"/>
      <c r="BJ569" s="32"/>
      <c r="BK569" s="256"/>
    </row>
    <row r="570" spans="1:63" ht="23.25" customHeight="1" thickBot="1" x14ac:dyDescent="0.25">
      <c r="A570" s="62">
        <v>569</v>
      </c>
      <c r="B570" s="222"/>
      <c r="C570" s="222"/>
      <c r="D570" s="224"/>
      <c r="E570" s="54" t="s">
        <v>232</v>
      </c>
      <c r="F570" s="16">
        <v>77.142857142857153</v>
      </c>
      <c r="G570" s="8">
        <v>15.714285714285717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17">
        <v>0</v>
      </c>
      <c r="T570" s="8">
        <v>7.1428571428571423</v>
      </c>
      <c r="U570" s="8">
        <v>0</v>
      </c>
      <c r="V570" s="8">
        <v>0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0</v>
      </c>
      <c r="AD570" s="14">
        <f t="shared" si="40"/>
        <v>100.00000000000001</v>
      </c>
      <c r="AE570" s="8">
        <v>0</v>
      </c>
      <c r="AF570" s="8">
        <f>0.5/14*100</f>
        <v>3.5714285714285712</v>
      </c>
      <c r="AG570" s="8">
        <v>0</v>
      </c>
      <c r="AH570" s="8">
        <v>0</v>
      </c>
      <c r="AI570" s="39" t="s">
        <v>1528</v>
      </c>
      <c r="AJ570" s="7"/>
      <c r="AK570" s="62"/>
      <c r="AL570" s="158"/>
      <c r="AM570" s="85"/>
      <c r="AN570" s="85"/>
      <c r="AO570" s="85"/>
      <c r="AP570" s="85"/>
      <c r="AQ570" s="85"/>
      <c r="AR570" s="85"/>
      <c r="AS570" s="85"/>
      <c r="AT570" s="205"/>
      <c r="AU570" s="85"/>
      <c r="AV570" s="196"/>
      <c r="AW570" s="85"/>
      <c r="AX570" s="85"/>
      <c r="AY570" s="39">
        <v>0.01</v>
      </c>
      <c r="AZ570" s="7">
        <v>315.2</v>
      </c>
      <c r="BA570" s="62"/>
      <c r="BB570" s="7">
        <v>2</v>
      </c>
      <c r="BC570" s="7">
        <v>1.4</v>
      </c>
      <c r="BD570" s="7">
        <v>315.2</v>
      </c>
      <c r="BE570" s="7"/>
      <c r="BF570" s="39"/>
      <c r="BG570" s="7"/>
      <c r="BH570" s="62"/>
      <c r="BI570" s="7"/>
      <c r="BJ570" s="32"/>
      <c r="BK570" s="256"/>
    </row>
    <row r="571" spans="1:63" s="4" customFormat="1" ht="23.25" customHeight="1" thickBot="1" x14ac:dyDescent="0.25">
      <c r="A571" s="7">
        <v>570</v>
      </c>
      <c r="B571" s="238">
        <v>617</v>
      </c>
      <c r="C571" s="238" t="s">
        <v>1809</v>
      </c>
      <c r="D571" s="12" t="s">
        <v>155</v>
      </c>
      <c r="E571" s="12"/>
      <c r="F571" s="87">
        <f>10.95/14*100</f>
        <v>78.214285714285708</v>
      </c>
      <c r="G571" s="88">
        <f>1.4/14*100</f>
        <v>10</v>
      </c>
      <c r="H571" s="88">
        <v>0</v>
      </c>
      <c r="I571" s="88">
        <v>0</v>
      </c>
      <c r="J571" s="88">
        <f>0.65/14*100</f>
        <v>4.6428571428571432</v>
      </c>
      <c r="K571" s="88">
        <v>0</v>
      </c>
      <c r="L571" s="88">
        <v>0</v>
      </c>
      <c r="M571" s="88">
        <v>0</v>
      </c>
      <c r="N571" s="88">
        <v>0</v>
      </c>
      <c r="O571" s="88">
        <v>0</v>
      </c>
      <c r="P571" s="88">
        <v>0</v>
      </c>
      <c r="Q571" s="88">
        <v>0</v>
      </c>
      <c r="R571" s="88">
        <v>0</v>
      </c>
      <c r="S571" s="89">
        <v>0</v>
      </c>
      <c r="T571" s="88">
        <f>1/14*100</f>
        <v>7.1428571428571423</v>
      </c>
      <c r="U571" s="88">
        <v>0</v>
      </c>
      <c r="V571" s="88">
        <v>0</v>
      </c>
      <c r="W571" s="88">
        <v>0</v>
      </c>
      <c r="X571" s="88">
        <v>0</v>
      </c>
      <c r="Y571" s="88">
        <v>0</v>
      </c>
      <c r="Z571" s="88">
        <v>0</v>
      </c>
      <c r="AA571" s="88">
        <v>0</v>
      </c>
      <c r="AB571" s="88">
        <v>0</v>
      </c>
      <c r="AC571" s="88">
        <v>0</v>
      </c>
      <c r="AD571" s="90">
        <f t="shared" si="40"/>
        <v>99.999999999999986</v>
      </c>
      <c r="AE571" s="88">
        <v>0</v>
      </c>
      <c r="AF571" s="88">
        <f>0.15/14*100</f>
        <v>1.0714285714285714</v>
      </c>
      <c r="AG571" s="88">
        <v>0</v>
      </c>
      <c r="AH571" s="88">
        <v>0</v>
      </c>
      <c r="AI571" s="156" t="s">
        <v>1531</v>
      </c>
      <c r="AJ571" s="45">
        <v>72</v>
      </c>
      <c r="AK571" s="91">
        <v>1423</v>
      </c>
      <c r="AL571" s="197"/>
      <c r="AM571" s="189"/>
      <c r="AN571" s="189"/>
      <c r="AO571" s="189"/>
      <c r="AP571" s="189"/>
      <c r="AQ571" s="189"/>
      <c r="AR571" s="189"/>
      <c r="AS571" s="189"/>
      <c r="AT571" s="198"/>
      <c r="AU571" s="189"/>
      <c r="AV571" s="199"/>
      <c r="AW571" s="189"/>
      <c r="AX571" s="189"/>
      <c r="AY571" s="156"/>
      <c r="AZ571" s="45">
        <v>287</v>
      </c>
      <c r="BA571" s="91"/>
      <c r="BB571" s="45" t="s">
        <v>842</v>
      </c>
      <c r="BC571" s="45" t="s">
        <v>913</v>
      </c>
      <c r="BD571" s="45" t="s">
        <v>916</v>
      </c>
      <c r="BE571" s="45" t="s">
        <v>919</v>
      </c>
      <c r="BF571" s="156"/>
      <c r="BG571" s="45"/>
      <c r="BH571" s="91"/>
      <c r="BI571" s="45"/>
      <c r="BJ571" s="67"/>
      <c r="BK571" s="256" t="s">
        <v>1898</v>
      </c>
    </row>
    <row r="572" spans="1:63" ht="23.25" customHeight="1" thickBot="1" x14ac:dyDescent="0.25">
      <c r="A572" s="62">
        <v>571</v>
      </c>
      <c r="B572" s="221"/>
      <c r="C572" s="221"/>
      <c r="D572" s="54" t="s">
        <v>156</v>
      </c>
      <c r="E572" s="54"/>
      <c r="F572" s="16">
        <f>10.85/14*100</f>
        <v>77.5</v>
      </c>
      <c r="G572" s="8">
        <f>1.5/14*100</f>
        <v>10.714285714285714</v>
      </c>
      <c r="H572" s="8">
        <v>0</v>
      </c>
      <c r="I572" s="8">
        <v>0</v>
      </c>
      <c r="J572" s="8">
        <f>0.65/14*100</f>
        <v>4.6428571428571432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17">
        <v>0</v>
      </c>
      <c r="T572" s="8">
        <f>1/14*100</f>
        <v>7.1428571428571423</v>
      </c>
      <c r="U572" s="8">
        <v>0</v>
      </c>
      <c r="V572" s="8">
        <v>0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>
        <v>0</v>
      </c>
      <c r="AC572" s="8">
        <v>0</v>
      </c>
      <c r="AD572" s="14">
        <f t="shared" si="40"/>
        <v>99.999999999999986</v>
      </c>
      <c r="AE572" s="8">
        <v>0</v>
      </c>
      <c r="AF572" s="8">
        <f>0.15/14*100</f>
        <v>1.0714285714285714</v>
      </c>
      <c r="AG572" s="8">
        <v>0</v>
      </c>
      <c r="AH572" s="8">
        <v>0</v>
      </c>
      <c r="AI572" s="39" t="s">
        <v>1531</v>
      </c>
      <c r="AJ572" s="7">
        <v>72</v>
      </c>
      <c r="AK572" s="62">
        <v>1423</v>
      </c>
      <c r="AL572" s="158"/>
      <c r="AM572" s="85"/>
      <c r="AN572" s="85"/>
      <c r="AO572" s="85"/>
      <c r="AP572" s="85"/>
      <c r="AQ572" s="85"/>
      <c r="AR572" s="85"/>
      <c r="AS572" s="85"/>
      <c r="AT572" s="205"/>
      <c r="AU572" s="85"/>
      <c r="AV572" s="196"/>
      <c r="AW572" s="85"/>
      <c r="AX572" s="85"/>
      <c r="AY572" s="39"/>
      <c r="AZ572" s="7">
        <v>291</v>
      </c>
      <c r="BA572" s="62"/>
      <c r="BB572" s="7" t="s">
        <v>842</v>
      </c>
      <c r="BC572" s="7" t="s">
        <v>914</v>
      </c>
      <c r="BD572" s="7" t="s">
        <v>917</v>
      </c>
      <c r="BE572" s="7" t="s">
        <v>920</v>
      </c>
      <c r="BF572" s="39"/>
      <c r="BG572" s="7"/>
      <c r="BH572" s="62"/>
      <c r="BI572" s="7"/>
      <c r="BJ572" s="32"/>
      <c r="BK572" s="256"/>
    </row>
    <row r="573" spans="1:63" s="6" customFormat="1" ht="23.25" customHeight="1" thickBot="1" x14ac:dyDescent="0.25">
      <c r="A573" s="7">
        <v>572</v>
      </c>
      <c r="B573" s="222"/>
      <c r="C573" s="222"/>
      <c r="D573" s="13" t="s">
        <v>157</v>
      </c>
      <c r="E573" s="13"/>
      <c r="F573" s="80">
        <f>10.95/14*100</f>
        <v>78.214285714285708</v>
      </c>
      <c r="G573" s="81">
        <f>1.4/14*100</f>
        <v>10</v>
      </c>
      <c r="H573" s="81">
        <v>0</v>
      </c>
      <c r="I573" s="81">
        <v>0</v>
      </c>
      <c r="J573" s="81">
        <f>0.65/14*100</f>
        <v>4.6428571428571432</v>
      </c>
      <c r="K573" s="81">
        <v>0</v>
      </c>
      <c r="L573" s="81">
        <v>0</v>
      </c>
      <c r="M573" s="81">
        <v>0</v>
      </c>
      <c r="N573" s="81">
        <v>0</v>
      </c>
      <c r="O573" s="81">
        <v>0</v>
      </c>
      <c r="P573" s="81">
        <v>0</v>
      </c>
      <c r="Q573" s="81">
        <v>0</v>
      </c>
      <c r="R573" s="81">
        <v>0</v>
      </c>
      <c r="S573" s="82">
        <v>0</v>
      </c>
      <c r="T573" s="81">
        <f>1/14*100</f>
        <v>7.1428571428571423</v>
      </c>
      <c r="U573" s="81">
        <v>0</v>
      </c>
      <c r="V573" s="81">
        <v>0</v>
      </c>
      <c r="W573" s="81">
        <v>0</v>
      </c>
      <c r="X573" s="81">
        <v>0</v>
      </c>
      <c r="Y573" s="81">
        <v>0</v>
      </c>
      <c r="Z573" s="81">
        <v>0</v>
      </c>
      <c r="AA573" s="81">
        <v>0</v>
      </c>
      <c r="AB573" s="81">
        <v>0</v>
      </c>
      <c r="AC573" s="81">
        <v>0</v>
      </c>
      <c r="AD573" s="83">
        <f t="shared" si="40"/>
        <v>99.999999999999986</v>
      </c>
      <c r="AE573" s="81">
        <v>0</v>
      </c>
      <c r="AF573" s="81">
        <f>0.2/14*100</f>
        <v>1.4285714285714286</v>
      </c>
      <c r="AG573" s="81">
        <v>0</v>
      </c>
      <c r="AH573" s="81">
        <v>0</v>
      </c>
      <c r="AI573" s="79" t="s">
        <v>1531</v>
      </c>
      <c r="AJ573" s="65">
        <v>72</v>
      </c>
      <c r="AK573" s="78">
        <v>1423</v>
      </c>
      <c r="AL573" s="200"/>
      <c r="AM573" s="190"/>
      <c r="AN573" s="190"/>
      <c r="AO573" s="190"/>
      <c r="AP573" s="190"/>
      <c r="AQ573" s="190"/>
      <c r="AR573" s="190"/>
      <c r="AS573" s="190"/>
      <c r="AT573" s="201"/>
      <c r="AU573" s="190"/>
      <c r="AV573" s="202"/>
      <c r="AW573" s="190"/>
      <c r="AX573" s="190"/>
      <c r="AY573" s="79"/>
      <c r="AZ573" s="65">
        <v>293.5</v>
      </c>
      <c r="BA573" s="78"/>
      <c r="BB573" s="65" t="s">
        <v>842</v>
      </c>
      <c r="BC573" s="65" t="s">
        <v>915</v>
      </c>
      <c r="BD573" s="65" t="s">
        <v>918</v>
      </c>
      <c r="BE573" s="65" t="s">
        <v>921</v>
      </c>
      <c r="BF573" s="79"/>
      <c r="BG573" s="65"/>
      <c r="BH573" s="78"/>
      <c r="BI573" s="65"/>
      <c r="BJ573" s="68"/>
      <c r="BK573" s="256"/>
    </row>
    <row r="574" spans="1:63" ht="23.25" customHeight="1" thickBot="1" x14ac:dyDescent="0.25">
      <c r="A574" s="62">
        <v>573</v>
      </c>
      <c r="B574" s="238">
        <v>618</v>
      </c>
      <c r="C574" s="238" t="s">
        <v>1810</v>
      </c>
      <c r="D574" s="225" t="s">
        <v>462</v>
      </c>
      <c r="E574" s="54" t="s">
        <v>463</v>
      </c>
      <c r="F574" s="16">
        <v>79</v>
      </c>
      <c r="G574" s="8">
        <v>7.7142857142857153</v>
      </c>
      <c r="H574" s="8">
        <v>0</v>
      </c>
      <c r="I574" s="8">
        <v>0</v>
      </c>
      <c r="J574" s="8">
        <v>6.1428571428571432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17">
        <v>0</v>
      </c>
      <c r="T574" s="8">
        <v>7.1428571428571423</v>
      </c>
      <c r="U574" s="8">
        <v>0</v>
      </c>
      <c r="V574" s="8">
        <v>0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  <c r="AD574" s="14">
        <f t="shared" si="40"/>
        <v>100</v>
      </c>
      <c r="AE574" s="8">
        <v>0</v>
      </c>
      <c r="AF574" s="8">
        <v>0</v>
      </c>
      <c r="AG574" s="8">
        <v>0</v>
      </c>
      <c r="AH574" s="8">
        <v>0</v>
      </c>
      <c r="AJ574" s="7"/>
      <c r="AK574" s="62"/>
      <c r="AL574" s="158"/>
      <c r="AM574" s="85"/>
      <c r="AN574" s="85"/>
      <c r="AO574" s="85"/>
      <c r="AP574" s="85"/>
      <c r="AQ574" s="85"/>
      <c r="AR574" s="85"/>
      <c r="AS574" s="85"/>
      <c r="AT574" s="205"/>
      <c r="AU574" s="85"/>
      <c r="AV574" s="196"/>
      <c r="AW574" s="85"/>
      <c r="AX574" s="85"/>
      <c r="AY574" s="39"/>
      <c r="AZ574" s="7"/>
      <c r="BA574" s="62"/>
      <c r="BB574" s="7">
        <v>1</v>
      </c>
      <c r="BC574" s="7">
        <v>6.1</v>
      </c>
      <c r="BD574" s="7">
        <v>275.8</v>
      </c>
      <c r="BE574" s="75">
        <v>14.302149999999999</v>
      </c>
      <c r="BF574" s="39">
        <v>1</v>
      </c>
      <c r="BG574" s="7">
        <v>2.2999999999999998</v>
      </c>
      <c r="BH574" s="62">
        <v>277.10000000000002</v>
      </c>
      <c r="BI574" s="7"/>
      <c r="BJ574" s="32"/>
      <c r="BK574" s="256"/>
    </row>
    <row r="575" spans="1:63" ht="23.25" customHeight="1" thickBot="1" x14ac:dyDescent="0.25">
      <c r="A575" s="7">
        <v>574</v>
      </c>
      <c r="B575" s="221"/>
      <c r="C575" s="221"/>
      <c r="D575" s="223"/>
      <c r="E575" s="54" t="s">
        <v>464</v>
      </c>
      <c r="F575" s="16">
        <v>78.928571428571431</v>
      </c>
      <c r="G575" s="8">
        <v>7.2142857142857144</v>
      </c>
      <c r="H575" s="8">
        <v>0</v>
      </c>
      <c r="I575" s="8">
        <v>0</v>
      </c>
      <c r="J575" s="8">
        <v>6.7142857142857144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17">
        <v>0</v>
      </c>
      <c r="T575" s="8">
        <v>7.1428571428571423</v>
      </c>
      <c r="U575" s="8">
        <v>0</v>
      </c>
      <c r="V575" s="8">
        <v>0</v>
      </c>
      <c r="W575" s="8">
        <v>0</v>
      </c>
      <c r="X575" s="8">
        <v>0</v>
      </c>
      <c r="Y575" s="8">
        <v>0</v>
      </c>
      <c r="Z575" s="8">
        <v>0</v>
      </c>
      <c r="AA575" s="8">
        <v>0</v>
      </c>
      <c r="AB575" s="8">
        <v>0</v>
      </c>
      <c r="AC575" s="8">
        <v>0</v>
      </c>
      <c r="AD575" s="14">
        <f t="shared" si="40"/>
        <v>99.999999999999986</v>
      </c>
      <c r="AE575" s="8">
        <v>0</v>
      </c>
      <c r="AF575" s="8">
        <v>0</v>
      </c>
      <c r="AG575" s="8">
        <v>0</v>
      </c>
      <c r="AH575" s="8">
        <v>0</v>
      </c>
      <c r="AJ575" s="7"/>
      <c r="AK575" s="62"/>
      <c r="AL575" s="158"/>
      <c r="AM575" s="85"/>
      <c r="AN575" s="85"/>
      <c r="AO575" s="85"/>
      <c r="AP575" s="85"/>
      <c r="AQ575" s="85"/>
      <c r="AR575" s="85"/>
      <c r="AS575" s="85"/>
      <c r="AT575" s="205"/>
      <c r="AU575" s="85"/>
      <c r="AV575" s="196"/>
      <c r="AW575" s="85"/>
      <c r="AX575" s="85"/>
      <c r="AY575" s="39"/>
      <c r="AZ575" s="7"/>
      <c r="BA575" s="62"/>
      <c r="BB575" s="7">
        <v>1</v>
      </c>
      <c r="BC575" s="7">
        <v>5.0999999999999996</v>
      </c>
      <c r="BD575" s="7">
        <v>287.10000000000002</v>
      </c>
      <c r="BE575" s="7">
        <v>16.399999999999999</v>
      </c>
      <c r="BF575" s="39">
        <v>1</v>
      </c>
      <c r="BG575" s="7">
        <v>2.1</v>
      </c>
      <c r="BH575" s="62">
        <v>287.10000000000002</v>
      </c>
      <c r="BI575" s="7"/>
      <c r="BJ575" s="32"/>
      <c r="BK575" s="256"/>
    </row>
    <row r="576" spans="1:63" ht="23.25" customHeight="1" thickBot="1" x14ac:dyDescent="0.25">
      <c r="A576" s="62">
        <v>575</v>
      </c>
      <c r="B576" s="222"/>
      <c r="C576" s="222"/>
      <c r="D576" s="224"/>
      <c r="E576" s="54" t="s">
        <v>465</v>
      </c>
      <c r="F576" s="16">
        <v>78.285714285714278</v>
      </c>
      <c r="G576" s="8">
        <v>7.6428571428571432</v>
      </c>
      <c r="H576" s="8">
        <v>0</v>
      </c>
      <c r="I576" s="8">
        <v>0</v>
      </c>
      <c r="J576" s="8">
        <v>6.9285714285714288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17">
        <v>0</v>
      </c>
      <c r="T576" s="8">
        <v>7.1428571428571423</v>
      </c>
      <c r="U576" s="8">
        <v>0</v>
      </c>
      <c r="V576" s="8">
        <v>0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>
        <v>0</v>
      </c>
      <c r="AC576" s="8">
        <v>0</v>
      </c>
      <c r="AD576" s="14">
        <f t="shared" si="40"/>
        <v>99.999999999999986</v>
      </c>
      <c r="AE576" s="8">
        <v>0</v>
      </c>
      <c r="AF576" s="8">
        <v>0</v>
      </c>
      <c r="AG576" s="8">
        <v>0</v>
      </c>
      <c r="AH576" s="8">
        <v>0</v>
      </c>
      <c r="AJ576" s="7"/>
      <c r="AK576" s="62"/>
      <c r="AL576" s="158"/>
      <c r="AM576" s="85"/>
      <c r="AN576" s="85"/>
      <c r="AO576" s="85"/>
      <c r="AP576" s="85"/>
      <c r="AQ576" s="85"/>
      <c r="AR576" s="85"/>
      <c r="AS576" s="85"/>
      <c r="AT576" s="205"/>
      <c r="AU576" s="85"/>
      <c r="AV576" s="196"/>
      <c r="AW576" s="85"/>
      <c r="AX576" s="85"/>
      <c r="AY576" s="39"/>
      <c r="AZ576" s="7"/>
      <c r="BA576" s="62"/>
      <c r="BB576" s="7">
        <v>1</v>
      </c>
      <c r="BC576" s="7">
        <v>5.3</v>
      </c>
      <c r="BD576" s="7">
        <v>289.8</v>
      </c>
      <c r="BE576" s="7">
        <v>16.399999999999999</v>
      </c>
      <c r="BF576" s="39">
        <v>1</v>
      </c>
      <c r="BG576" s="7">
        <v>2.2000000000000002</v>
      </c>
      <c r="BH576" s="62">
        <v>289.60000000000002</v>
      </c>
      <c r="BI576" s="7"/>
      <c r="BJ576" s="32"/>
      <c r="BK576" s="256"/>
    </row>
    <row r="577" spans="1:63" s="4" customFormat="1" ht="23.25" customHeight="1" thickBot="1" x14ac:dyDescent="0.25">
      <c r="A577" s="7">
        <v>576</v>
      </c>
      <c r="B577" s="238">
        <v>620</v>
      </c>
      <c r="C577" s="238" t="s">
        <v>1811</v>
      </c>
      <c r="D577" s="12" t="s">
        <v>26</v>
      </c>
      <c r="E577" s="12"/>
      <c r="F577" s="87">
        <v>84.285714285714292</v>
      </c>
      <c r="G577" s="88">
        <v>8.5714285714285712</v>
      </c>
      <c r="H577" s="88">
        <v>0</v>
      </c>
      <c r="I577" s="88">
        <v>0</v>
      </c>
      <c r="J577" s="88">
        <v>0</v>
      </c>
      <c r="K577" s="88">
        <v>0</v>
      </c>
      <c r="L577" s="88">
        <v>0</v>
      </c>
      <c r="M577" s="88">
        <v>0</v>
      </c>
      <c r="N577" s="88">
        <v>0</v>
      </c>
      <c r="O577" s="88">
        <v>0</v>
      </c>
      <c r="P577" s="88">
        <v>0</v>
      </c>
      <c r="Q577" s="88">
        <v>0</v>
      </c>
      <c r="R577" s="88">
        <v>0</v>
      </c>
      <c r="S577" s="89">
        <v>0</v>
      </c>
      <c r="T577" s="88">
        <v>7.1428571428571423</v>
      </c>
      <c r="U577" s="88">
        <v>0</v>
      </c>
      <c r="V577" s="88">
        <v>0</v>
      </c>
      <c r="W577" s="88">
        <v>0</v>
      </c>
      <c r="X577" s="88">
        <v>0</v>
      </c>
      <c r="Y577" s="88">
        <v>0</v>
      </c>
      <c r="Z577" s="88">
        <v>0</v>
      </c>
      <c r="AA577" s="88">
        <v>0</v>
      </c>
      <c r="AB577" s="88">
        <v>0</v>
      </c>
      <c r="AC577" s="88">
        <v>0</v>
      </c>
      <c r="AD577" s="90">
        <f t="shared" si="40"/>
        <v>100</v>
      </c>
      <c r="AE577" s="88">
        <v>0</v>
      </c>
      <c r="AF577" s="88">
        <v>0</v>
      </c>
      <c r="AG577" s="88">
        <v>0</v>
      </c>
      <c r="AH577" s="88">
        <v>0</v>
      </c>
      <c r="AI577" s="156" t="s">
        <v>1528</v>
      </c>
      <c r="AJ577" s="45">
        <v>0.5</v>
      </c>
      <c r="AK577" s="91">
        <v>1373</v>
      </c>
      <c r="AL577" s="197"/>
      <c r="AM577" s="189"/>
      <c r="AN577" s="189"/>
      <c r="AO577" s="189"/>
      <c r="AP577" s="189"/>
      <c r="AQ577" s="189"/>
      <c r="AR577" s="189"/>
      <c r="AS577" s="189"/>
      <c r="AT577" s="198"/>
      <c r="AU577" s="189"/>
      <c r="AV577" s="199"/>
      <c r="AW577" s="189">
        <v>11.468999999999999</v>
      </c>
      <c r="AX577" s="189"/>
      <c r="AY577" s="156">
        <v>0.01</v>
      </c>
      <c r="AZ577" s="45">
        <v>192.5</v>
      </c>
      <c r="BA577" s="91"/>
      <c r="BB577" s="45">
        <v>2</v>
      </c>
      <c r="BC577" s="45">
        <v>11</v>
      </c>
      <c r="BD577" s="45"/>
      <c r="BE577" s="45">
        <v>9.9</v>
      </c>
      <c r="BF577" s="156"/>
      <c r="BG577" s="45"/>
      <c r="BH577" s="91"/>
      <c r="BI577" s="45"/>
      <c r="BJ577" s="67"/>
      <c r="BK577" s="256"/>
    </row>
    <row r="578" spans="1:63" ht="23.25" customHeight="1" thickBot="1" x14ac:dyDescent="0.25">
      <c r="A578" s="62">
        <v>577</v>
      </c>
      <c r="B578" s="221"/>
      <c r="C578" s="221"/>
      <c r="D578" s="54" t="s">
        <v>61</v>
      </c>
      <c r="E578" s="54"/>
      <c r="F578" s="16">
        <v>83.571428571428569</v>
      </c>
      <c r="G578" s="8">
        <v>9.2857142857142865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17">
        <v>0</v>
      </c>
      <c r="T578" s="8">
        <v>7.1428571428571423</v>
      </c>
      <c r="U578" s="8">
        <v>0</v>
      </c>
      <c r="V578" s="8">
        <v>0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14">
        <f t="shared" si="40"/>
        <v>100</v>
      </c>
      <c r="AE578" s="8">
        <v>0</v>
      </c>
      <c r="AF578" s="8">
        <v>0</v>
      </c>
      <c r="AG578" s="8">
        <v>0</v>
      </c>
      <c r="AH578" s="8">
        <v>0</v>
      </c>
      <c r="AI578" s="39" t="s">
        <v>1528</v>
      </c>
      <c r="AJ578" s="7">
        <v>0.5</v>
      </c>
      <c r="AK578" s="62">
        <v>1373</v>
      </c>
      <c r="AL578" s="158"/>
      <c r="AM578" s="85"/>
      <c r="AN578" s="85"/>
      <c r="AO578" s="85"/>
      <c r="AP578" s="85"/>
      <c r="AQ578" s="85"/>
      <c r="AR578" s="85"/>
      <c r="AS578" s="85"/>
      <c r="AT578" s="205"/>
      <c r="AU578" s="85"/>
      <c r="AV578" s="196"/>
      <c r="AW578" s="85">
        <v>11.468</v>
      </c>
      <c r="AX578" s="85"/>
      <c r="AY578" s="39"/>
      <c r="AZ578" s="7"/>
      <c r="BA578" s="62"/>
      <c r="BB578" s="7"/>
      <c r="BC578" s="7"/>
      <c r="BD578" s="7"/>
      <c r="BE578" s="7"/>
      <c r="BF578" s="39"/>
      <c r="BG578" s="7"/>
      <c r="BH578" s="62"/>
      <c r="BI578" s="7"/>
      <c r="BJ578" s="32"/>
      <c r="BK578" s="256"/>
    </row>
    <row r="579" spans="1:63" ht="23.25" customHeight="1" thickBot="1" x14ac:dyDescent="0.25">
      <c r="A579" s="7">
        <v>578</v>
      </c>
      <c r="B579" s="221"/>
      <c r="C579" s="221"/>
      <c r="D579" s="54" t="s">
        <v>10</v>
      </c>
      <c r="E579" s="54"/>
      <c r="F579" s="16">
        <v>82.142857142857139</v>
      </c>
      <c r="G579" s="8">
        <v>10.714285714285714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17">
        <v>0</v>
      </c>
      <c r="T579" s="8">
        <v>7.1428571428571423</v>
      </c>
      <c r="U579" s="8">
        <v>0</v>
      </c>
      <c r="V579" s="8">
        <v>0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14">
        <f t="shared" ref="AD579:AD644" si="42">SUM(F579:AC579)</f>
        <v>99.999999999999986</v>
      </c>
      <c r="AE579" s="8">
        <v>0</v>
      </c>
      <c r="AF579" s="8">
        <v>0</v>
      </c>
      <c r="AG579" s="8">
        <v>0</v>
      </c>
      <c r="AH579" s="8">
        <v>0</v>
      </c>
      <c r="AI579" s="39" t="s">
        <v>1528</v>
      </c>
      <c r="AJ579" s="7">
        <v>0.5</v>
      </c>
      <c r="AK579" s="62">
        <v>1373</v>
      </c>
      <c r="AL579" s="158"/>
      <c r="AM579" s="85"/>
      <c r="AN579" s="85"/>
      <c r="AO579" s="85"/>
      <c r="AP579" s="85"/>
      <c r="AQ579" s="85"/>
      <c r="AR579" s="85"/>
      <c r="AS579" s="85"/>
      <c r="AT579" s="205"/>
      <c r="AU579" s="85"/>
      <c r="AV579" s="196"/>
      <c r="AW579" s="85">
        <v>11.464</v>
      </c>
      <c r="AX579" s="85"/>
      <c r="AY579" s="39">
        <v>0.01</v>
      </c>
      <c r="AZ579" s="7">
        <v>201</v>
      </c>
      <c r="BA579" s="62"/>
      <c r="BB579" s="7">
        <v>2</v>
      </c>
      <c r="BC579" s="7">
        <v>17.3</v>
      </c>
      <c r="BD579" s="7"/>
      <c r="BE579" s="7">
        <v>7.4</v>
      </c>
      <c r="BF579" s="39"/>
      <c r="BG579" s="7"/>
      <c r="BH579" s="62"/>
      <c r="BI579" s="7"/>
      <c r="BJ579" s="32"/>
      <c r="BK579" s="256"/>
    </row>
    <row r="580" spans="1:63" ht="23.25" customHeight="1" thickBot="1" x14ac:dyDescent="0.25">
      <c r="A580" s="62">
        <v>579</v>
      </c>
      <c r="B580" s="221"/>
      <c r="C580" s="221"/>
      <c r="D580" s="54" t="s">
        <v>15</v>
      </c>
      <c r="E580" s="54"/>
      <c r="F580" s="16">
        <v>77.142857142857153</v>
      </c>
      <c r="G580" s="8">
        <v>15.714285714285717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17">
        <v>0</v>
      </c>
      <c r="T580" s="8">
        <v>7.1428571428571423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14">
        <f t="shared" si="42"/>
        <v>100.00000000000001</v>
      </c>
      <c r="AE580" s="8">
        <v>0</v>
      </c>
      <c r="AF580" s="8">
        <v>0</v>
      </c>
      <c r="AG580" s="8">
        <v>0</v>
      </c>
      <c r="AH580" s="8">
        <v>0</v>
      </c>
      <c r="AI580" s="39" t="s">
        <v>1528</v>
      </c>
      <c r="AJ580" s="7">
        <v>0.5</v>
      </c>
      <c r="AK580" s="62">
        <v>1373</v>
      </c>
      <c r="AL580" s="158"/>
      <c r="AM580" s="85"/>
      <c r="AN580" s="85"/>
      <c r="AO580" s="85"/>
      <c r="AP580" s="85"/>
      <c r="AQ580" s="85"/>
      <c r="AR580" s="85"/>
      <c r="AS580" s="85"/>
      <c r="AT580" s="205"/>
      <c r="AU580" s="85"/>
      <c r="AV580" s="196"/>
      <c r="AW580" s="85">
        <v>11.464</v>
      </c>
      <c r="AX580" s="85"/>
      <c r="AY580" s="39">
        <v>0.02</v>
      </c>
      <c r="AZ580" s="7">
        <v>240</v>
      </c>
      <c r="BA580" s="62"/>
      <c r="BB580" s="7">
        <v>2</v>
      </c>
      <c r="BC580" s="7">
        <v>2.2999999999999998</v>
      </c>
      <c r="BD580" s="7"/>
      <c r="BE580" s="7">
        <v>59.9</v>
      </c>
      <c r="BF580" s="39"/>
      <c r="BG580" s="7"/>
      <c r="BH580" s="62"/>
      <c r="BI580" s="7"/>
      <c r="BJ580" s="32"/>
      <c r="BK580" s="256"/>
    </row>
    <row r="581" spans="1:63" ht="23.25" customHeight="1" thickBot="1" x14ac:dyDescent="0.25">
      <c r="A581" s="7">
        <v>580</v>
      </c>
      <c r="B581" s="221"/>
      <c r="C581" s="221"/>
      <c r="D581" s="54" t="s">
        <v>17</v>
      </c>
      <c r="E581" s="54"/>
      <c r="F581" s="16">
        <v>82.857142857142847</v>
      </c>
      <c r="G581" s="8">
        <v>10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17">
        <v>0</v>
      </c>
      <c r="T581" s="8">
        <v>7.1428571428571423</v>
      </c>
      <c r="U581" s="8">
        <v>0</v>
      </c>
      <c r="V581" s="8">
        <v>0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14">
        <f t="shared" si="42"/>
        <v>99.999999999999986</v>
      </c>
      <c r="AE581" s="8">
        <v>0</v>
      </c>
      <c r="AF581" s="8">
        <v>0</v>
      </c>
      <c r="AG581" s="8">
        <v>0</v>
      </c>
      <c r="AH581" s="8">
        <v>0</v>
      </c>
      <c r="AI581" s="39" t="s">
        <v>1528</v>
      </c>
      <c r="AJ581" s="7">
        <v>0.5</v>
      </c>
      <c r="AK581" s="62">
        <v>1373</v>
      </c>
      <c r="AL581" s="158"/>
      <c r="AM581" s="85"/>
      <c r="AN581" s="85"/>
      <c r="AO581" s="85"/>
      <c r="AP581" s="85"/>
      <c r="AQ581" s="85"/>
      <c r="AR581" s="85"/>
      <c r="AS581" s="85"/>
      <c r="AT581" s="205"/>
      <c r="AU581" s="85"/>
      <c r="AV581" s="196"/>
      <c r="AW581" s="85"/>
      <c r="AX581" s="85"/>
      <c r="AY581" s="39">
        <v>0.01</v>
      </c>
      <c r="AZ581" s="7">
        <v>200.2</v>
      </c>
      <c r="BA581" s="62"/>
      <c r="BB581" s="7">
        <v>2</v>
      </c>
      <c r="BC581" s="7">
        <v>24.4</v>
      </c>
      <c r="BD581" s="7"/>
      <c r="BE581" s="7">
        <v>5.0999999999999996</v>
      </c>
      <c r="BF581" s="39"/>
      <c r="BG581" s="7"/>
      <c r="BH581" s="62"/>
      <c r="BI581" s="7"/>
      <c r="BJ581" s="32"/>
      <c r="BK581" s="256"/>
    </row>
    <row r="582" spans="1:63" ht="23.25" customHeight="1" thickBot="1" x14ac:dyDescent="0.25">
      <c r="A582" s="62">
        <v>581</v>
      </c>
      <c r="B582" s="221"/>
      <c r="C582" s="221"/>
      <c r="D582" s="54" t="s">
        <v>0</v>
      </c>
      <c r="E582" s="54"/>
      <c r="F582" s="16">
        <v>81.428571428571431</v>
      </c>
      <c r="G582" s="8">
        <v>11.428571428571429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17">
        <v>0</v>
      </c>
      <c r="T582" s="8">
        <v>7.1428571428571423</v>
      </c>
      <c r="U582" s="8">
        <v>0</v>
      </c>
      <c r="V582" s="8">
        <v>0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14">
        <f t="shared" si="42"/>
        <v>100</v>
      </c>
      <c r="AE582" s="8">
        <v>0</v>
      </c>
      <c r="AF582" s="8">
        <v>0</v>
      </c>
      <c r="AG582" s="8">
        <v>0</v>
      </c>
      <c r="AH582" s="8">
        <v>0</v>
      </c>
      <c r="AI582" s="39" t="s">
        <v>1528</v>
      </c>
      <c r="AJ582" s="7">
        <v>0.5</v>
      </c>
      <c r="AK582" s="62">
        <v>1373</v>
      </c>
      <c r="AL582" s="158"/>
      <c r="AM582" s="85"/>
      <c r="AN582" s="85"/>
      <c r="AO582" s="85"/>
      <c r="AP582" s="85"/>
      <c r="AQ582" s="85"/>
      <c r="AR582" s="85"/>
      <c r="AS582" s="85"/>
      <c r="AT582" s="205"/>
      <c r="AU582" s="85"/>
      <c r="AV582" s="196"/>
      <c r="AW582" s="85"/>
      <c r="AX582" s="85"/>
      <c r="AY582" s="39">
        <v>0.01</v>
      </c>
      <c r="AZ582" s="7">
        <v>202.5</v>
      </c>
      <c r="BA582" s="62"/>
      <c r="BB582" s="7">
        <v>2</v>
      </c>
      <c r="BC582" s="7">
        <v>16.5</v>
      </c>
      <c r="BD582" s="7"/>
      <c r="BE582" s="7">
        <v>9.4</v>
      </c>
      <c r="BF582" s="39"/>
      <c r="BG582" s="7"/>
      <c r="BH582" s="62"/>
      <c r="BI582" s="7"/>
      <c r="BJ582" s="32"/>
      <c r="BK582" s="256"/>
    </row>
    <row r="583" spans="1:63" ht="23.25" customHeight="1" thickBot="1" x14ac:dyDescent="0.25">
      <c r="A583" s="7">
        <v>582</v>
      </c>
      <c r="B583" s="221"/>
      <c r="C583" s="221"/>
      <c r="D583" s="54" t="s">
        <v>11</v>
      </c>
      <c r="E583" s="54"/>
      <c r="F583" s="16">
        <v>80</v>
      </c>
      <c r="G583" s="8">
        <v>12.857142857142859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17">
        <v>0</v>
      </c>
      <c r="T583" s="8">
        <v>7.1428571428571423</v>
      </c>
      <c r="U583" s="8">
        <v>0</v>
      </c>
      <c r="V583" s="8">
        <v>0</v>
      </c>
      <c r="W583" s="8">
        <v>0</v>
      </c>
      <c r="X583" s="8">
        <v>0</v>
      </c>
      <c r="Y583" s="8">
        <v>0</v>
      </c>
      <c r="Z583" s="8">
        <v>0</v>
      </c>
      <c r="AA583" s="8">
        <v>0</v>
      </c>
      <c r="AB583" s="8">
        <v>0</v>
      </c>
      <c r="AC583" s="8">
        <v>0</v>
      </c>
      <c r="AD583" s="14">
        <f t="shared" si="42"/>
        <v>100</v>
      </c>
      <c r="AE583" s="8">
        <v>0</v>
      </c>
      <c r="AF583" s="8">
        <v>0</v>
      </c>
      <c r="AG583" s="8">
        <v>0</v>
      </c>
      <c r="AH583" s="8">
        <v>0</v>
      </c>
      <c r="AI583" s="39" t="s">
        <v>1528</v>
      </c>
      <c r="AJ583" s="7">
        <v>0.5</v>
      </c>
      <c r="AK583" s="62">
        <v>1373</v>
      </c>
      <c r="AL583" s="158"/>
      <c r="AM583" s="85"/>
      <c r="AN583" s="85"/>
      <c r="AO583" s="85"/>
      <c r="AP583" s="85"/>
      <c r="AQ583" s="85"/>
      <c r="AR583" s="85"/>
      <c r="AS583" s="85"/>
      <c r="AT583" s="205"/>
      <c r="AU583" s="85"/>
      <c r="AV583" s="196"/>
      <c r="AW583" s="85"/>
      <c r="AX583" s="85"/>
      <c r="AY583" s="39">
        <v>0.01</v>
      </c>
      <c r="AZ583" s="7">
        <v>216.5</v>
      </c>
      <c r="BA583" s="62"/>
      <c r="BB583" s="7">
        <v>2</v>
      </c>
      <c r="BC583" s="7">
        <v>6.5</v>
      </c>
      <c r="BD583" s="7"/>
      <c r="BE583" s="7">
        <v>21.8</v>
      </c>
      <c r="BF583" s="39"/>
      <c r="BG583" s="7"/>
      <c r="BH583" s="62"/>
      <c r="BI583" s="7"/>
      <c r="BJ583" s="32"/>
      <c r="BK583" s="256"/>
    </row>
    <row r="584" spans="1:63" s="6" customFormat="1" ht="23.25" customHeight="1" thickBot="1" x14ac:dyDescent="0.25">
      <c r="A584" s="62">
        <v>583</v>
      </c>
      <c r="B584" s="222"/>
      <c r="C584" s="222"/>
      <c r="D584" s="13" t="s">
        <v>13</v>
      </c>
      <c r="E584" s="13"/>
      <c r="F584" s="80">
        <v>78.571428571428569</v>
      </c>
      <c r="G584" s="81">
        <v>14.285714285714285</v>
      </c>
      <c r="H584" s="81">
        <v>0</v>
      </c>
      <c r="I584" s="81">
        <v>0</v>
      </c>
      <c r="J584" s="81">
        <v>0</v>
      </c>
      <c r="K584" s="81">
        <v>0</v>
      </c>
      <c r="L584" s="81">
        <v>0</v>
      </c>
      <c r="M584" s="81">
        <v>0</v>
      </c>
      <c r="N584" s="81">
        <v>0</v>
      </c>
      <c r="O584" s="81">
        <v>0</v>
      </c>
      <c r="P584" s="81">
        <v>0</v>
      </c>
      <c r="Q584" s="81">
        <v>0</v>
      </c>
      <c r="R584" s="81">
        <v>0</v>
      </c>
      <c r="S584" s="82">
        <v>0</v>
      </c>
      <c r="T584" s="81">
        <v>7.1428571428571423</v>
      </c>
      <c r="U584" s="81">
        <v>0</v>
      </c>
      <c r="V584" s="81">
        <v>0</v>
      </c>
      <c r="W584" s="81">
        <v>0</v>
      </c>
      <c r="X584" s="81">
        <v>0</v>
      </c>
      <c r="Y584" s="81">
        <v>0</v>
      </c>
      <c r="Z584" s="81">
        <v>0</v>
      </c>
      <c r="AA584" s="81">
        <v>0</v>
      </c>
      <c r="AB584" s="81">
        <v>0</v>
      </c>
      <c r="AC584" s="81">
        <v>0</v>
      </c>
      <c r="AD584" s="83">
        <f t="shared" si="42"/>
        <v>100</v>
      </c>
      <c r="AE584" s="81">
        <v>0</v>
      </c>
      <c r="AF584" s="81">
        <v>0</v>
      </c>
      <c r="AG584" s="81">
        <v>0</v>
      </c>
      <c r="AH584" s="81">
        <v>0</v>
      </c>
      <c r="AI584" s="79" t="s">
        <v>1528</v>
      </c>
      <c r="AJ584" s="65">
        <v>0.5</v>
      </c>
      <c r="AK584" s="78">
        <v>1373</v>
      </c>
      <c r="AL584" s="200"/>
      <c r="AM584" s="190"/>
      <c r="AN584" s="190"/>
      <c r="AO584" s="190"/>
      <c r="AP584" s="190"/>
      <c r="AQ584" s="190"/>
      <c r="AR584" s="190"/>
      <c r="AS584" s="190"/>
      <c r="AT584" s="201"/>
      <c r="AU584" s="190"/>
      <c r="AV584" s="202"/>
      <c r="AW584" s="190"/>
      <c r="AX584" s="190"/>
      <c r="AY584" s="79">
        <v>0.01</v>
      </c>
      <c r="AZ584" s="65">
        <v>228.5</v>
      </c>
      <c r="BA584" s="78"/>
      <c r="BB584" s="65">
        <v>2</v>
      </c>
      <c r="BC584" s="65">
        <v>3.8</v>
      </c>
      <c r="BD584" s="65"/>
      <c r="BE584" s="65">
        <v>32.9</v>
      </c>
      <c r="BF584" s="79"/>
      <c r="BG584" s="65"/>
      <c r="BH584" s="78"/>
      <c r="BI584" s="65"/>
      <c r="BJ584" s="68"/>
      <c r="BK584" s="256"/>
    </row>
    <row r="585" spans="1:63" ht="23.25" customHeight="1" thickBot="1" x14ac:dyDescent="0.25">
      <c r="A585" s="7">
        <v>584</v>
      </c>
      <c r="B585" s="238">
        <v>630</v>
      </c>
      <c r="C585" s="238" t="s">
        <v>1812</v>
      </c>
      <c r="D585" s="54" t="s">
        <v>194</v>
      </c>
      <c r="E585" s="54"/>
      <c r="F585" s="16">
        <v>85.714285714285708</v>
      </c>
      <c r="G585" s="8">
        <v>7.1428571428571423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17">
        <v>0</v>
      </c>
      <c r="T585" s="8">
        <v>7.1428571428571423</v>
      </c>
      <c r="U585" s="8">
        <v>0</v>
      </c>
      <c r="V585" s="8">
        <v>0</v>
      </c>
      <c r="W585" s="8">
        <v>0</v>
      </c>
      <c r="X585" s="8">
        <v>0</v>
      </c>
      <c r="Y585" s="8">
        <v>0</v>
      </c>
      <c r="Z585" s="8">
        <v>0</v>
      </c>
      <c r="AA585" s="8">
        <v>0</v>
      </c>
      <c r="AB585" s="8">
        <v>0</v>
      </c>
      <c r="AC585" s="8">
        <v>0</v>
      </c>
      <c r="AD585" s="14">
        <f t="shared" si="42"/>
        <v>99.999999999999986</v>
      </c>
      <c r="AE585" s="8">
        <v>0</v>
      </c>
      <c r="AF585" s="8">
        <v>0</v>
      </c>
      <c r="AG585" s="8">
        <v>0</v>
      </c>
      <c r="AH585" s="8">
        <v>0</v>
      </c>
      <c r="AI585" s="39" t="s">
        <v>1529</v>
      </c>
      <c r="AJ585" s="7">
        <v>2</v>
      </c>
      <c r="AK585" s="62">
        <v>1323</v>
      </c>
      <c r="AL585" s="158"/>
      <c r="AM585" s="85">
        <v>27</v>
      </c>
      <c r="AN585" s="85"/>
      <c r="AO585" s="85"/>
      <c r="AP585" s="85"/>
      <c r="AQ585" s="85"/>
      <c r="AR585" s="85"/>
      <c r="AS585" s="85"/>
      <c r="AT585" s="205"/>
      <c r="AU585" s="85">
        <v>0</v>
      </c>
      <c r="AV585" s="196">
        <f t="shared" ref="AV585:AV600" si="43">SUM(AL585:AT585)</f>
        <v>27</v>
      </c>
      <c r="AW585" s="85">
        <v>11.478999999999999</v>
      </c>
      <c r="AX585" s="85"/>
      <c r="AY585" s="39"/>
      <c r="AZ585" s="7"/>
      <c r="BA585" s="62"/>
      <c r="BB585" s="7"/>
      <c r="BC585" s="7"/>
      <c r="BD585" s="7"/>
      <c r="BE585" s="7"/>
      <c r="BF585" s="39"/>
      <c r="BG585" s="7"/>
      <c r="BH585" s="62"/>
      <c r="BI585" s="7"/>
      <c r="BJ585" s="32"/>
      <c r="BK585" s="256"/>
    </row>
    <row r="586" spans="1:63" ht="23.25" customHeight="1" thickBot="1" x14ac:dyDescent="0.25">
      <c r="A586" s="62">
        <v>585</v>
      </c>
      <c r="B586" s="221"/>
      <c r="C586" s="221"/>
      <c r="D586" s="54" t="s">
        <v>26</v>
      </c>
      <c r="E586" s="54"/>
      <c r="F586" s="16">
        <v>84.285714285714292</v>
      </c>
      <c r="G586" s="8">
        <v>8.5714285714285712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17">
        <v>0</v>
      </c>
      <c r="T586" s="8">
        <v>7.1428571428571423</v>
      </c>
      <c r="U586" s="8">
        <v>0</v>
      </c>
      <c r="V586" s="8">
        <v>0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14">
        <f t="shared" si="42"/>
        <v>100</v>
      </c>
      <c r="AE586" s="8">
        <v>0</v>
      </c>
      <c r="AF586" s="8">
        <v>0</v>
      </c>
      <c r="AG586" s="8">
        <v>0</v>
      </c>
      <c r="AH586" s="8">
        <v>0</v>
      </c>
      <c r="AI586" s="39" t="s">
        <v>1529</v>
      </c>
      <c r="AJ586" s="7">
        <v>2</v>
      </c>
      <c r="AK586" s="62">
        <v>1323</v>
      </c>
      <c r="AL586" s="158"/>
      <c r="AM586" s="85">
        <v>10.8</v>
      </c>
      <c r="AN586" s="85"/>
      <c r="AO586" s="85"/>
      <c r="AP586" s="85"/>
      <c r="AQ586" s="85"/>
      <c r="AR586" s="85"/>
      <c r="AS586" s="85"/>
      <c r="AT586" s="205"/>
      <c r="AU586" s="85">
        <v>0</v>
      </c>
      <c r="AV586" s="196">
        <f t="shared" si="43"/>
        <v>10.8</v>
      </c>
      <c r="AW586" s="85">
        <v>11.483000000000001</v>
      </c>
      <c r="AX586" s="85"/>
      <c r="AY586" s="39"/>
      <c r="AZ586" s="7"/>
      <c r="BA586" s="62"/>
      <c r="BB586" s="7"/>
      <c r="BC586" s="7"/>
      <c r="BD586" s="7"/>
      <c r="BE586" s="7"/>
      <c r="BF586" s="39"/>
      <c r="BG586" s="7"/>
      <c r="BH586" s="62"/>
      <c r="BI586" s="7"/>
      <c r="BJ586" s="32"/>
      <c r="BK586" s="256"/>
    </row>
    <row r="587" spans="1:63" ht="23.25" customHeight="1" thickBot="1" x14ac:dyDescent="0.25">
      <c r="A587" s="7">
        <v>586</v>
      </c>
      <c r="B587" s="221"/>
      <c r="C587" s="221"/>
      <c r="D587" s="54" t="s">
        <v>17</v>
      </c>
      <c r="E587" s="54"/>
      <c r="F587" s="16">
        <v>82.857142857142847</v>
      </c>
      <c r="G587" s="8">
        <v>10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>
        <v>0</v>
      </c>
      <c r="S587" s="17">
        <v>0</v>
      </c>
      <c r="T587" s="8">
        <v>7.1428571428571423</v>
      </c>
      <c r="U587" s="8">
        <v>0</v>
      </c>
      <c r="V587" s="8">
        <v>0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14">
        <f t="shared" si="42"/>
        <v>99.999999999999986</v>
      </c>
      <c r="AE587" s="8">
        <v>0</v>
      </c>
      <c r="AF587" s="8">
        <v>0</v>
      </c>
      <c r="AG587" s="8">
        <v>0</v>
      </c>
      <c r="AH587" s="8">
        <v>0</v>
      </c>
      <c r="AI587" s="39" t="s">
        <v>1529</v>
      </c>
      <c r="AJ587" s="7">
        <v>2</v>
      </c>
      <c r="AK587" s="62">
        <v>1323</v>
      </c>
      <c r="AL587" s="158"/>
      <c r="AM587" s="85">
        <v>20</v>
      </c>
      <c r="AN587" s="85"/>
      <c r="AO587" s="85"/>
      <c r="AP587" s="85"/>
      <c r="AQ587" s="85"/>
      <c r="AR587" s="85"/>
      <c r="AS587" s="85"/>
      <c r="AT587" s="205"/>
      <c r="AU587" s="85">
        <v>0</v>
      </c>
      <c r="AV587" s="196">
        <f t="shared" si="43"/>
        <v>20</v>
      </c>
      <c r="AW587" s="85">
        <v>11.473000000000001</v>
      </c>
      <c r="AX587" s="85"/>
      <c r="AY587" s="39"/>
      <c r="AZ587" s="7"/>
      <c r="BA587" s="62"/>
      <c r="BB587" s="7"/>
      <c r="BC587" s="7"/>
      <c r="BD587" s="7"/>
      <c r="BE587" s="7"/>
      <c r="BF587" s="39"/>
      <c r="BG587" s="7"/>
      <c r="BH587" s="62"/>
      <c r="BI587" s="7"/>
      <c r="BJ587" s="32"/>
      <c r="BK587" s="256"/>
    </row>
    <row r="588" spans="1:63" ht="23.25" customHeight="1" thickBot="1" x14ac:dyDescent="0.25">
      <c r="A588" s="62">
        <v>587</v>
      </c>
      <c r="B588" s="221"/>
      <c r="C588" s="221"/>
      <c r="D588" s="54" t="s">
        <v>0</v>
      </c>
      <c r="E588" s="54"/>
      <c r="F588" s="16">
        <v>81.428571428571431</v>
      </c>
      <c r="G588" s="8">
        <v>11.428571428571429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17">
        <v>0</v>
      </c>
      <c r="T588" s="8">
        <v>7.1428571428571423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14">
        <f t="shared" si="42"/>
        <v>100</v>
      </c>
      <c r="AE588" s="8">
        <v>0</v>
      </c>
      <c r="AF588" s="8">
        <v>0</v>
      </c>
      <c r="AG588" s="8">
        <v>0</v>
      </c>
      <c r="AH588" s="8">
        <v>0</v>
      </c>
      <c r="AI588" s="39" t="s">
        <v>1529</v>
      </c>
      <c r="AJ588" s="7">
        <v>2</v>
      </c>
      <c r="AK588" s="62">
        <v>1323</v>
      </c>
      <c r="AL588" s="158"/>
      <c r="AM588" s="85">
        <v>27</v>
      </c>
      <c r="AN588" s="85"/>
      <c r="AO588" s="85"/>
      <c r="AP588" s="85"/>
      <c r="AQ588" s="85"/>
      <c r="AR588" s="85"/>
      <c r="AS588" s="85"/>
      <c r="AT588" s="205"/>
      <c r="AU588" s="85">
        <v>0</v>
      </c>
      <c r="AV588" s="196">
        <f t="shared" si="43"/>
        <v>27</v>
      </c>
      <c r="AW588" s="85">
        <v>11.462999999999999</v>
      </c>
      <c r="AX588" s="85"/>
      <c r="AY588" s="39"/>
      <c r="AZ588" s="7"/>
      <c r="BA588" s="62"/>
      <c r="BB588" s="7"/>
      <c r="BC588" s="7"/>
      <c r="BD588" s="7"/>
      <c r="BE588" s="7"/>
      <c r="BF588" s="39"/>
      <c r="BG588" s="7"/>
      <c r="BH588" s="62"/>
      <c r="BI588" s="7"/>
      <c r="BJ588" s="32"/>
      <c r="BK588" s="256"/>
    </row>
    <row r="589" spans="1:63" ht="23.25" customHeight="1" thickBot="1" x14ac:dyDescent="0.25">
      <c r="A589" s="7">
        <v>588</v>
      </c>
      <c r="B589" s="221"/>
      <c r="C589" s="221"/>
      <c r="D589" s="54" t="s">
        <v>11</v>
      </c>
      <c r="E589" s="54"/>
      <c r="F589" s="16">
        <v>80</v>
      </c>
      <c r="G589" s="8">
        <v>12.857142857142859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17">
        <v>0</v>
      </c>
      <c r="T589" s="8">
        <v>7.1428571428571423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0</v>
      </c>
      <c r="AA589" s="8">
        <v>0</v>
      </c>
      <c r="AB589" s="8">
        <v>0</v>
      </c>
      <c r="AC589" s="8">
        <v>0</v>
      </c>
      <c r="AD589" s="14">
        <f t="shared" si="42"/>
        <v>100</v>
      </c>
      <c r="AE589" s="8">
        <v>0</v>
      </c>
      <c r="AF589" s="8">
        <v>0</v>
      </c>
      <c r="AG589" s="8">
        <v>0</v>
      </c>
      <c r="AH589" s="8">
        <v>0</v>
      </c>
      <c r="AI589" s="39" t="s">
        <v>1529</v>
      </c>
      <c r="AJ589" s="7">
        <v>2</v>
      </c>
      <c r="AK589" s="62">
        <v>1323</v>
      </c>
      <c r="AL589" s="158"/>
      <c r="AM589" s="85">
        <v>27</v>
      </c>
      <c r="AN589" s="85"/>
      <c r="AO589" s="85"/>
      <c r="AP589" s="85"/>
      <c r="AQ589" s="85"/>
      <c r="AR589" s="85"/>
      <c r="AS589" s="85"/>
      <c r="AT589" s="205"/>
      <c r="AU589" s="85">
        <v>0</v>
      </c>
      <c r="AV589" s="196">
        <f t="shared" si="43"/>
        <v>27</v>
      </c>
      <c r="AW589" s="85">
        <v>11.46</v>
      </c>
      <c r="AX589" s="85"/>
      <c r="AY589" s="39"/>
      <c r="AZ589" s="7"/>
      <c r="BA589" s="62"/>
      <c r="BB589" s="7"/>
      <c r="BC589" s="7"/>
      <c r="BD589" s="7"/>
      <c r="BE589" s="7"/>
      <c r="BF589" s="39"/>
      <c r="BG589" s="7"/>
      <c r="BH589" s="62"/>
      <c r="BI589" s="7"/>
      <c r="BJ589" s="32"/>
      <c r="BK589" s="256"/>
    </row>
    <row r="590" spans="1:63" ht="23.25" customHeight="1" thickBot="1" x14ac:dyDescent="0.25">
      <c r="A590" s="62">
        <v>589</v>
      </c>
      <c r="B590" s="221"/>
      <c r="C590" s="221"/>
      <c r="D590" s="54" t="s">
        <v>26</v>
      </c>
      <c r="E590" s="54"/>
      <c r="F590" s="16">
        <v>84.285714285714292</v>
      </c>
      <c r="G590" s="8">
        <v>8.5714285714285712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17">
        <v>0</v>
      </c>
      <c r="T590" s="8">
        <v>7.1428571428571423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14">
        <f t="shared" si="42"/>
        <v>100</v>
      </c>
      <c r="AE590" s="8">
        <v>0</v>
      </c>
      <c r="AF590" s="8">
        <v>0</v>
      </c>
      <c r="AG590" s="8">
        <v>0</v>
      </c>
      <c r="AH590" s="8">
        <v>0</v>
      </c>
      <c r="AI590" s="39" t="s">
        <v>1531</v>
      </c>
      <c r="AJ590" s="7">
        <v>438</v>
      </c>
      <c r="AK590" s="62">
        <v>1323</v>
      </c>
      <c r="AL590" s="158"/>
      <c r="AM590" s="85">
        <v>40</v>
      </c>
      <c r="AN590" s="85"/>
      <c r="AO590" s="85"/>
      <c r="AP590" s="85"/>
      <c r="AQ590" s="85"/>
      <c r="AR590" s="85"/>
      <c r="AS590" s="85"/>
      <c r="AT590" s="205"/>
      <c r="AU590" s="85">
        <v>0</v>
      </c>
      <c r="AV590" s="196">
        <f t="shared" si="43"/>
        <v>40</v>
      </c>
      <c r="AW590" s="85">
        <v>11.481</v>
      </c>
      <c r="AX590" s="85"/>
      <c r="AY590" s="39"/>
      <c r="AZ590" s="7"/>
      <c r="BA590" s="62"/>
      <c r="BB590" s="7"/>
      <c r="BC590" s="7"/>
      <c r="BD590" s="7"/>
      <c r="BE590" s="7"/>
      <c r="BF590" s="39"/>
      <c r="BG590" s="7"/>
      <c r="BH590" s="62"/>
      <c r="BI590" s="7"/>
      <c r="BJ590" s="32"/>
      <c r="BK590" s="256"/>
    </row>
    <row r="591" spans="1:63" ht="23.25" customHeight="1" thickBot="1" x14ac:dyDescent="0.25">
      <c r="A591" s="7">
        <v>590</v>
      </c>
      <c r="B591" s="221"/>
      <c r="C591" s="221"/>
      <c r="D591" s="54" t="s">
        <v>17</v>
      </c>
      <c r="E591" s="54"/>
      <c r="F591" s="16">
        <v>82.857142857142847</v>
      </c>
      <c r="G591" s="8">
        <v>10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17">
        <v>0</v>
      </c>
      <c r="T591" s="8">
        <v>7.1428571428571423</v>
      </c>
      <c r="U591" s="8">
        <v>0</v>
      </c>
      <c r="V591" s="8">
        <v>0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14">
        <f t="shared" si="42"/>
        <v>99.999999999999986</v>
      </c>
      <c r="AE591" s="8">
        <v>0</v>
      </c>
      <c r="AF591" s="8">
        <v>0</v>
      </c>
      <c r="AG591" s="8">
        <v>0</v>
      </c>
      <c r="AH591" s="8">
        <v>0</v>
      </c>
      <c r="AI591" s="39" t="s">
        <v>1531</v>
      </c>
      <c r="AJ591" s="7">
        <v>438</v>
      </c>
      <c r="AK591" s="62">
        <v>1323</v>
      </c>
      <c r="AL591" s="158"/>
      <c r="AM591" s="85">
        <v>7</v>
      </c>
      <c r="AN591" s="85"/>
      <c r="AO591" s="85"/>
      <c r="AP591" s="85"/>
      <c r="AQ591" s="85"/>
      <c r="AR591" s="85"/>
      <c r="AS591" s="85"/>
      <c r="AT591" s="205"/>
      <c r="AU591" s="85">
        <v>0</v>
      </c>
      <c r="AV591" s="196">
        <f t="shared" si="43"/>
        <v>7</v>
      </c>
      <c r="AW591" s="85">
        <v>11.476000000000001</v>
      </c>
      <c r="AX591" s="85"/>
      <c r="AY591" s="39"/>
      <c r="AZ591" s="7"/>
      <c r="BA591" s="62"/>
      <c r="BB591" s="7"/>
      <c r="BC591" s="7"/>
      <c r="BD591" s="7"/>
      <c r="BE591" s="7"/>
      <c r="BF591" s="39"/>
      <c r="BG591" s="7"/>
      <c r="BH591" s="62"/>
      <c r="BI591" s="7"/>
      <c r="BJ591" s="32"/>
      <c r="BK591" s="256"/>
    </row>
    <row r="592" spans="1:63" ht="23.25" customHeight="1" thickBot="1" x14ac:dyDescent="0.25">
      <c r="A592" s="62">
        <v>591</v>
      </c>
      <c r="B592" s="221"/>
      <c r="C592" s="221"/>
      <c r="D592" s="54" t="s">
        <v>0</v>
      </c>
      <c r="E592" s="54"/>
      <c r="F592" s="16">
        <v>81.428571428571431</v>
      </c>
      <c r="G592" s="8">
        <v>11.428571428571429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17">
        <v>0</v>
      </c>
      <c r="T592" s="8">
        <v>7.1428571428571423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14">
        <f t="shared" si="42"/>
        <v>100</v>
      </c>
      <c r="AE592" s="8">
        <v>0</v>
      </c>
      <c r="AF592" s="8">
        <v>0</v>
      </c>
      <c r="AG592" s="8">
        <v>0</v>
      </c>
      <c r="AH592" s="8">
        <v>0</v>
      </c>
      <c r="AI592" s="39" t="s">
        <v>1531</v>
      </c>
      <c r="AJ592" s="7">
        <v>438</v>
      </c>
      <c r="AK592" s="62">
        <v>1323</v>
      </c>
      <c r="AL592" s="158"/>
      <c r="AM592" s="85">
        <v>7</v>
      </c>
      <c r="AN592" s="85"/>
      <c r="AO592" s="85"/>
      <c r="AP592" s="85"/>
      <c r="AQ592" s="85"/>
      <c r="AR592" s="85"/>
      <c r="AS592" s="85"/>
      <c r="AT592" s="205"/>
      <c r="AU592" s="85">
        <v>0</v>
      </c>
      <c r="AV592" s="196">
        <f t="shared" si="43"/>
        <v>7</v>
      </c>
      <c r="AW592" s="85">
        <v>11.47</v>
      </c>
      <c r="AX592" s="85"/>
      <c r="AY592" s="39"/>
      <c r="AZ592" s="7"/>
      <c r="BA592" s="62"/>
      <c r="BB592" s="7"/>
      <c r="BC592" s="7"/>
      <c r="BD592" s="7"/>
      <c r="BE592" s="7"/>
      <c r="BF592" s="39"/>
      <c r="BG592" s="7"/>
      <c r="BH592" s="62"/>
      <c r="BI592" s="7"/>
      <c r="BJ592" s="32"/>
      <c r="BK592" s="256"/>
    </row>
    <row r="593" spans="1:63" ht="23.25" customHeight="1" thickBot="1" x14ac:dyDescent="0.25">
      <c r="A593" s="7">
        <v>592</v>
      </c>
      <c r="B593" s="222"/>
      <c r="C593" s="222"/>
      <c r="D593" s="54" t="s">
        <v>11</v>
      </c>
      <c r="E593" s="54"/>
      <c r="F593" s="16">
        <v>80</v>
      </c>
      <c r="G593" s="8">
        <v>12.857142857142859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17">
        <v>0</v>
      </c>
      <c r="T593" s="8">
        <v>7.1428571428571423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14">
        <f t="shared" si="42"/>
        <v>100</v>
      </c>
      <c r="AE593" s="8">
        <v>0</v>
      </c>
      <c r="AF593" s="8">
        <v>0</v>
      </c>
      <c r="AG593" s="8">
        <v>0</v>
      </c>
      <c r="AH593" s="8">
        <v>0</v>
      </c>
      <c r="AI593" s="39" t="s">
        <v>1531</v>
      </c>
      <c r="AJ593" s="7">
        <v>438</v>
      </c>
      <c r="AK593" s="62">
        <v>1323</v>
      </c>
      <c r="AL593" s="158"/>
      <c r="AM593" s="85">
        <v>7</v>
      </c>
      <c r="AN593" s="85"/>
      <c r="AO593" s="85"/>
      <c r="AP593" s="85"/>
      <c r="AQ593" s="85"/>
      <c r="AR593" s="85"/>
      <c r="AS593" s="85"/>
      <c r="AT593" s="205"/>
      <c r="AU593" s="85">
        <v>0</v>
      </c>
      <c r="AV593" s="196">
        <f t="shared" si="43"/>
        <v>7</v>
      </c>
      <c r="AW593" s="85">
        <v>11.468999999999999</v>
      </c>
      <c r="AX593" s="85"/>
      <c r="AY593" s="39"/>
      <c r="AZ593" s="7"/>
      <c r="BA593" s="62"/>
      <c r="BB593" s="7"/>
      <c r="BC593" s="7"/>
      <c r="BD593" s="7"/>
      <c r="BE593" s="7"/>
      <c r="BF593" s="39"/>
      <c r="BG593" s="7"/>
      <c r="BH593" s="62"/>
      <c r="BI593" s="7"/>
      <c r="BJ593" s="32"/>
      <c r="BK593" s="256"/>
    </row>
    <row r="594" spans="1:63" s="4" customFormat="1" ht="23.25" customHeight="1" thickBot="1" x14ac:dyDescent="0.25">
      <c r="A594" s="62">
        <v>593</v>
      </c>
      <c r="B594" s="238">
        <v>632</v>
      </c>
      <c r="C594" s="238" t="s">
        <v>1813</v>
      </c>
      <c r="D594" s="225" t="s">
        <v>10</v>
      </c>
      <c r="E594" s="12"/>
      <c r="F594" s="87">
        <v>82.142857142857139</v>
      </c>
      <c r="G594" s="88">
        <v>10.714285714285714</v>
      </c>
      <c r="H594" s="88">
        <v>0</v>
      </c>
      <c r="I594" s="88">
        <v>0</v>
      </c>
      <c r="J594" s="88">
        <v>0</v>
      </c>
      <c r="K594" s="88">
        <v>0</v>
      </c>
      <c r="L594" s="88">
        <v>0</v>
      </c>
      <c r="M594" s="88">
        <v>0</v>
      </c>
      <c r="N594" s="88">
        <v>0</v>
      </c>
      <c r="O594" s="88">
        <v>0</v>
      </c>
      <c r="P594" s="88">
        <v>0</v>
      </c>
      <c r="Q594" s="88">
        <v>0</v>
      </c>
      <c r="R594" s="88">
        <v>0</v>
      </c>
      <c r="S594" s="89">
        <v>0</v>
      </c>
      <c r="T594" s="88">
        <v>7.1428571428571423</v>
      </c>
      <c r="U594" s="88">
        <v>0</v>
      </c>
      <c r="V594" s="88">
        <v>0</v>
      </c>
      <c r="W594" s="88">
        <v>0</v>
      </c>
      <c r="X594" s="88">
        <v>0</v>
      </c>
      <c r="Y594" s="88">
        <v>0</v>
      </c>
      <c r="Z594" s="88">
        <v>0</v>
      </c>
      <c r="AA594" s="88">
        <v>0</v>
      </c>
      <c r="AB594" s="88">
        <v>0</v>
      </c>
      <c r="AC594" s="88">
        <v>0</v>
      </c>
      <c r="AD594" s="90">
        <f t="shared" si="42"/>
        <v>99.999999999999986</v>
      </c>
      <c r="AE594" s="88">
        <v>0</v>
      </c>
      <c r="AF594" s="88">
        <v>0</v>
      </c>
      <c r="AG594" s="88">
        <v>0</v>
      </c>
      <c r="AH594" s="88">
        <v>0</v>
      </c>
      <c r="AI594" s="156" t="s">
        <v>1531</v>
      </c>
      <c r="AJ594" s="45">
        <v>720</v>
      </c>
      <c r="AK594" s="91">
        <v>1273</v>
      </c>
      <c r="AL594" s="197">
        <v>91.4</v>
      </c>
      <c r="AM594" s="189">
        <v>6.2</v>
      </c>
      <c r="AN594" s="189">
        <v>2.4</v>
      </c>
      <c r="AO594" s="189"/>
      <c r="AP594" s="189"/>
      <c r="AQ594" s="189"/>
      <c r="AR594" s="189"/>
      <c r="AS594" s="189"/>
      <c r="AT594" s="198"/>
      <c r="AU594" s="189"/>
      <c r="AV594" s="199">
        <f t="shared" si="43"/>
        <v>100.00000000000001</v>
      </c>
      <c r="AW594" s="189">
        <v>11.464</v>
      </c>
      <c r="AX594" s="189"/>
      <c r="AY594" s="156"/>
      <c r="AZ594" s="45"/>
      <c r="BA594" s="91"/>
      <c r="BB594" s="45"/>
      <c r="BC594" s="45"/>
      <c r="BD594" s="45"/>
      <c r="BE594" s="45"/>
      <c r="BF594" s="156"/>
      <c r="BG594" s="45"/>
      <c r="BH594" s="91"/>
      <c r="BI594" s="45"/>
      <c r="BJ594" s="67"/>
      <c r="BK594" s="256"/>
    </row>
    <row r="595" spans="1:63" ht="23.25" customHeight="1" thickBot="1" x14ac:dyDescent="0.25">
      <c r="A595" s="7">
        <v>594</v>
      </c>
      <c r="B595" s="221"/>
      <c r="C595" s="221"/>
      <c r="D595" s="223"/>
      <c r="E595" s="54"/>
      <c r="F595" s="16">
        <v>82.142857142857139</v>
      </c>
      <c r="G595" s="8">
        <v>10.714285714285714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17">
        <v>0</v>
      </c>
      <c r="T595" s="8">
        <v>7.1428571428571423</v>
      </c>
      <c r="U595" s="8">
        <v>0</v>
      </c>
      <c r="V595" s="8">
        <v>0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14">
        <f t="shared" si="42"/>
        <v>99.999999999999986</v>
      </c>
      <c r="AE595" s="8">
        <v>0</v>
      </c>
      <c r="AF595" s="8">
        <v>0</v>
      </c>
      <c r="AG595" s="8">
        <v>0</v>
      </c>
      <c r="AH595" s="8">
        <v>0</v>
      </c>
      <c r="AI595" s="39" t="s">
        <v>1531</v>
      </c>
      <c r="AJ595" s="7">
        <v>720</v>
      </c>
      <c r="AK595" s="62">
        <v>1373</v>
      </c>
      <c r="AL595" s="158">
        <v>95.5</v>
      </c>
      <c r="AM595" s="85">
        <v>1.8</v>
      </c>
      <c r="AN595" s="85">
        <v>2.7</v>
      </c>
      <c r="AO595" s="85"/>
      <c r="AP595" s="85"/>
      <c r="AQ595" s="85"/>
      <c r="AR595" s="85"/>
      <c r="AS595" s="85"/>
      <c r="AT595" s="205"/>
      <c r="AU595" s="85"/>
      <c r="AV595" s="196">
        <f t="shared" si="43"/>
        <v>100</v>
      </c>
      <c r="AW595" s="85">
        <v>11.468999999999999</v>
      </c>
      <c r="AX595" s="85"/>
      <c r="AY595" s="39"/>
      <c r="AZ595" s="7"/>
      <c r="BA595" s="62"/>
      <c r="BB595" s="7"/>
      <c r="BC595" s="7"/>
      <c r="BD595" s="7"/>
      <c r="BE595" s="7"/>
      <c r="BF595" s="39"/>
      <c r="BG595" s="7"/>
      <c r="BH595" s="62"/>
      <c r="BI595" s="7"/>
      <c r="BJ595" s="32"/>
      <c r="BK595" s="256"/>
    </row>
    <row r="596" spans="1:63" ht="23.25" customHeight="1" thickBot="1" x14ac:dyDescent="0.25">
      <c r="A596" s="62">
        <v>595</v>
      </c>
      <c r="B596" s="221"/>
      <c r="C596" s="221"/>
      <c r="D596" s="223"/>
      <c r="E596" s="54"/>
      <c r="F596" s="16">
        <v>82.142857142857139</v>
      </c>
      <c r="G596" s="8">
        <v>10.714285714285714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17">
        <v>0</v>
      </c>
      <c r="T596" s="8">
        <v>7.1428571428571423</v>
      </c>
      <c r="U596" s="8">
        <v>0</v>
      </c>
      <c r="V596" s="8">
        <v>0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  <c r="AB596" s="8">
        <v>0</v>
      </c>
      <c r="AC596" s="8">
        <v>0</v>
      </c>
      <c r="AD596" s="14">
        <f t="shared" si="42"/>
        <v>99.999999999999986</v>
      </c>
      <c r="AE596" s="8">
        <v>0</v>
      </c>
      <c r="AF596" s="8">
        <v>0</v>
      </c>
      <c r="AG596" s="8">
        <v>0</v>
      </c>
      <c r="AH596" s="8">
        <v>0</v>
      </c>
      <c r="AI596" s="39" t="s">
        <v>1528</v>
      </c>
      <c r="AJ596" s="7">
        <v>0.5</v>
      </c>
      <c r="AK596" s="62">
        <v>1273</v>
      </c>
      <c r="AL596" s="158">
        <v>95</v>
      </c>
      <c r="AM596" s="85">
        <v>2.1</v>
      </c>
      <c r="AN596" s="85">
        <v>1</v>
      </c>
      <c r="AO596" s="85"/>
      <c r="AP596" s="85"/>
      <c r="AQ596" s="85"/>
      <c r="AR596" s="85"/>
      <c r="AS596" s="85"/>
      <c r="AT596" s="205">
        <v>1.9</v>
      </c>
      <c r="AU596" s="85">
        <v>0</v>
      </c>
      <c r="AV596" s="196">
        <f t="shared" si="43"/>
        <v>100</v>
      </c>
      <c r="AW596" s="85">
        <v>11.478</v>
      </c>
      <c r="AX596" s="85"/>
      <c r="AY596" s="39"/>
      <c r="AZ596" s="7"/>
      <c r="BA596" s="62"/>
      <c r="BB596" s="7"/>
      <c r="BC596" s="7"/>
      <c r="BD596" s="7"/>
      <c r="BE596" s="7"/>
      <c r="BF596" s="39"/>
      <c r="BG596" s="7"/>
      <c r="BH596" s="62"/>
      <c r="BI596" s="7"/>
      <c r="BJ596" s="32"/>
      <c r="BK596" s="256"/>
    </row>
    <row r="597" spans="1:63" ht="23.25" customHeight="1" thickBot="1" x14ac:dyDescent="0.25">
      <c r="A597" s="7">
        <v>596</v>
      </c>
      <c r="B597" s="221"/>
      <c r="C597" s="221"/>
      <c r="D597" s="223"/>
      <c r="E597" s="54"/>
      <c r="F597" s="16">
        <v>82.142857142857139</v>
      </c>
      <c r="G597" s="8">
        <v>10.714285714285714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17">
        <v>0</v>
      </c>
      <c r="T597" s="8">
        <v>7.1428571428571423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  <c r="AD597" s="14">
        <f t="shared" si="42"/>
        <v>99.999999999999986</v>
      </c>
      <c r="AE597" s="8">
        <v>0</v>
      </c>
      <c r="AF597" s="8">
        <v>0</v>
      </c>
      <c r="AG597" s="8">
        <v>0</v>
      </c>
      <c r="AH597" s="8">
        <v>0</v>
      </c>
      <c r="AI597" s="39" t="s">
        <v>1528</v>
      </c>
      <c r="AJ597" s="7">
        <v>0.5</v>
      </c>
      <c r="AK597" s="62">
        <v>1393</v>
      </c>
      <c r="AL597" s="158">
        <v>96.9</v>
      </c>
      <c r="AM597" s="85">
        <v>0.5</v>
      </c>
      <c r="AN597" s="85">
        <v>0</v>
      </c>
      <c r="AO597" s="85"/>
      <c r="AP597" s="85"/>
      <c r="AQ597" s="85"/>
      <c r="AR597" s="85"/>
      <c r="AS597" s="85"/>
      <c r="AT597" s="205">
        <v>2.6</v>
      </c>
      <c r="AU597" s="85">
        <v>0</v>
      </c>
      <c r="AV597" s="196">
        <f t="shared" si="43"/>
        <v>100</v>
      </c>
      <c r="AW597" s="85">
        <v>11.468999999999999</v>
      </c>
      <c r="AX597" s="85"/>
      <c r="AY597" s="39"/>
      <c r="AZ597" s="7"/>
      <c r="BA597" s="62"/>
      <c r="BB597" s="7"/>
      <c r="BC597" s="7"/>
      <c r="BD597" s="7"/>
      <c r="BE597" s="7"/>
      <c r="BF597" s="39"/>
      <c r="BG597" s="7"/>
      <c r="BH597" s="62"/>
      <c r="BI597" s="7"/>
      <c r="BJ597" s="32"/>
      <c r="BK597" s="256"/>
    </row>
    <row r="598" spans="1:63" ht="23.25" customHeight="1" thickBot="1" x14ac:dyDescent="0.25">
      <c r="A598" s="62">
        <v>597</v>
      </c>
      <c r="B598" s="221"/>
      <c r="C598" s="221"/>
      <c r="D598" s="54" t="s">
        <v>0</v>
      </c>
      <c r="E598" s="54"/>
      <c r="F598" s="16">
        <v>81.428571428571431</v>
      </c>
      <c r="G598" s="8">
        <v>11.428571428571429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17">
        <v>0</v>
      </c>
      <c r="T598" s="8">
        <v>7.1428571428571423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0</v>
      </c>
      <c r="AD598" s="14">
        <f t="shared" si="42"/>
        <v>100</v>
      </c>
      <c r="AE598" s="8">
        <v>0</v>
      </c>
      <c r="AF598" s="8">
        <v>0</v>
      </c>
      <c r="AG598" s="8">
        <v>0</v>
      </c>
      <c r="AH598" s="8">
        <v>0</v>
      </c>
      <c r="AI598" s="39" t="s">
        <v>1528</v>
      </c>
      <c r="AJ598" s="7">
        <v>0.5</v>
      </c>
      <c r="AK598" s="62">
        <v>1423</v>
      </c>
      <c r="AL598" s="158">
        <v>96.6</v>
      </c>
      <c r="AM598" s="85">
        <v>1</v>
      </c>
      <c r="AN598" s="85">
        <v>0</v>
      </c>
      <c r="AO598" s="85"/>
      <c r="AP598" s="85"/>
      <c r="AQ598" s="85"/>
      <c r="AR598" s="85"/>
      <c r="AS598" s="85"/>
      <c r="AT598" s="205">
        <v>2.4</v>
      </c>
      <c r="AU598" s="85">
        <v>0</v>
      </c>
      <c r="AV598" s="196">
        <f t="shared" si="43"/>
        <v>100</v>
      </c>
      <c r="AW598" s="85">
        <v>11.468999999999999</v>
      </c>
      <c r="AX598" s="85"/>
      <c r="AY598" s="39">
        <v>0.03</v>
      </c>
      <c r="AZ598" s="7">
        <v>202.5</v>
      </c>
      <c r="BA598" s="62"/>
      <c r="BB598" s="7" t="s">
        <v>524</v>
      </c>
      <c r="BC598" s="7" t="s">
        <v>922</v>
      </c>
      <c r="BD598" s="7" t="s">
        <v>926</v>
      </c>
      <c r="BE598" s="7" t="s">
        <v>930</v>
      </c>
      <c r="BF598" s="39"/>
      <c r="BG598" s="7"/>
      <c r="BH598" s="62"/>
      <c r="BI598" s="7"/>
      <c r="BJ598" s="32"/>
      <c r="BK598" s="256"/>
    </row>
    <row r="599" spans="1:63" ht="23.25" customHeight="1" thickBot="1" x14ac:dyDescent="0.25">
      <c r="A599" s="7">
        <v>598</v>
      </c>
      <c r="B599" s="221"/>
      <c r="C599" s="221"/>
      <c r="D599" s="54" t="s">
        <v>11</v>
      </c>
      <c r="E599" s="54"/>
      <c r="F599" s="16">
        <v>80</v>
      </c>
      <c r="G599" s="8">
        <v>12.857142857142859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17">
        <v>0</v>
      </c>
      <c r="T599" s="8">
        <v>7.1428571428571423</v>
      </c>
      <c r="U599" s="8">
        <v>0</v>
      </c>
      <c r="V599" s="8">
        <v>0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14">
        <f t="shared" si="42"/>
        <v>100</v>
      </c>
      <c r="AE599" s="8">
        <v>0</v>
      </c>
      <c r="AF599" s="8">
        <v>0</v>
      </c>
      <c r="AG599" s="8">
        <v>0</v>
      </c>
      <c r="AH599" s="8">
        <v>0</v>
      </c>
      <c r="AI599" s="39" t="s">
        <v>1528</v>
      </c>
      <c r="AJ599" s="7">
        <v>0.5</v>
      </c>
      <c r="AK599" s="62">
        <v>1423</v>
      </c>
      <c r="AL599" s="158">
        <v>95.5</v>
      </c>
      <c r="AM599" s="85">
        <v>1.8</v>
      </c>
      <c r="AN599" s="85">
        <v>0</v>
      </c>
      <c r="AO599" s="85"/>
      <c r="AP599" s="85"/>
      <c r="AQ599" s="85"/>
      <c r="AR599" s="85"/>
      <c r="AS599" s="85"/>
      <c r="AT599" s="205">
        <v>2.7</v>
      </c>
      <c r="AU599" s="85">
        <v>0</v>
      </c>
      <c r="AV599" s="196">
        <f t="shared" si="43"/>
        <v>100</v>
      </c>
      <c r="AW599" s="85">
        <v>11.48</v>
      </c>
      <c r="AX599" s="85"/>
      <c r="AY599" s="39">
        <v>0.03</v>
      </c>
      <c r="AZ599" s="7">
        <v>216.5</v>
      </c>
      <c r="BA599" s="62"/>
      <c r="BB599" s="7" t="s">
        <v>524</v>
      </c>
      <c r="BC599" s="7" t="s">
        <v>923</v>
      </c>
      <c r="BD599" s="7" t="s">
        <v>927</v>
      </c>
      <c r="BE599" s="7" t="s">
        <v>931</v>
      </c>
      <c r="BF599" s="39"/>
      <c r="BG599" s="7"/>
      <c r="BH599" s="62"/>
      <c r="BI599" s="7"/>
      <c r="BJ599" s="32"/>
      <c r="BK599" s="256"/>
    </row>
    <row r="600" spans="1:63" ht="23.25" customHeight="1" thickBot="1" x14ac:dyDescent="0.25">
      <c r="A600" s="62">
        <v>599</v>
      </c>
      <c r="B600" s="221"/>
      <c r="C600" s="221"/>
      <c r="D600" s="54" t="s">
        <v>159</v>
      </c>
      <c r="E600" s="54"/>
      <c r="F600" s="16">
        <v>78.571428571428569</v>
      </c>
      <c r="G600" s="8">
        <v>14.285714285714285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17">
        <v>0</v>
      </c>
      <c r="T600" s="8">
        <v>7.1428571428571423</v>
      </c>
      <c r="U600" s="8">
        <v>0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14">
        <f t="shared" si="42"/>
        <v>100</v>
      </c>
      <c r="AE600" s="8">
        <v>0</v>
      </c>
      <c r="AF600" s="8">
        <v>0</v>
      </c>
      <c r="AG600" s="8">
        <v>0</v>
      </c>
      <c r="AH600" s="8">
        <v>0</v>
      </c>
      <c r="AI600" s="39" t="s">
        <v>1528</v>
      </c>
      <c r="AJ600" s="7">
        <v>0.5</v>
      </c>
      <c r="AK600" s="62">
        <v>1403</v>
      </c>
      <c r="AL600" s="158">
        <v>95.3</v>
      </c>
      <c r="AM600" s="85">
        <v>2.2000000000000002</v>
      </c>
      <c r="AN600" s="85">
        <v>0</v>
      </c>
      <c r="AO600" s="85"/>
      <c r="AP600" s="85"/>
      <c r="AQ600" s="85"/>
      <c r="AR600" s="85"/>
      <c r="AS600" s="85"/>
      <c r="AT600" s="205">
        <v>2.5</v>
      </c>
      <c r="AU600" s="85">
        <v>0</v>
      </c>
      <c r="AV600" s="196">
        <f t="shared" si="43"/>
        <v>100</v>
      </c>
      <c r="AW600" s="85">
        <v>11.464</v>
      </c>
      <c r="AX600" s="85"/>
      <c r="AY600" s="39">
        <v>0.03</v>
      </c>
      <c r="AZ600" s="7">
        <v>228.5</v>
      </c>
      <c r="BA600" s="62"/>
      <c r="BB600" s="7" t="s">
        <v>524</v>
      </c>
      <c r="BC600" s="7" t="s">
        <v>924</v>
      </c>
      <c r="BD600" s="7" t="s">
        <v>929</v>
      </c>
      <c r="BE600" s="7" t="s">
        <v>933</v>
      </c>
      <c r="BF600" s="39"/>
      <c r="BG600" s="7"/>
      <c r="BH600" s="62"/>
      <c r="BI600" s="7"/>
      <c r="BJ600" s="32"/>
      <c r="BK600" s="256"/>
    </row>
    <row r="601" spans="1:63" s="6" customFormat="1" ht="23.25" customHeight="1" thickBot="1" x14ac:dyDescent="0.25">
      <c r="A601" s="7">
        <v>600</v>
      </c>
      <c r="B601" s="222"/>
      <c r="C601" s="222"/>
      <c r="D601" s="13" t="s">
        <v>17</v>
      </c>
      <c r="E601" s="13"/>
      <c r="F601" s="80">
        <v>82.857142857142847</v>
      </c>
      <c r="G601" s="81">
        <v>10</v>
      </c>
      <c r="H601" s="81">
        <v>0</v>
      </c>
      <c r="I601" s="81">
        <v>0</v>
      </c>
      <c r="J601" s="81">
        <v>0</v>
      </c>
      <c r="K601" s="81">
        <v>0</v>
      </c>
      <c r="L601" s="81">
        <v>0</v>
      </c>
      <c r="M601" s="81">
        <v>0</v>
      </c>
      <c r="N601" s="81">
        <v>0</v>
      </c>
      <c r="O601" s="81">
        <v>0</v>
      </c>
      <c r="P601" s="81">
        <v>0</v>
      </c>
      <c r="Q601" s="81">
        <v>0</v>
      </c>
      <c r="R601" s="81">
        <v>0</v>
      </c>
      <c r="S601" s="82">
        <v>0</v>
      </c>
      <c r="T601" s="81">
        <v>7.1428571428571423</v>
      </c>
      <c r="U601" s="81">
        <v>0</v>
      </c>
      <c r="V601" s="81">
        <v>0</v>
      </c>
      <c r="W601" s="81">
        <v>0</v>
      </c>
      <c r="X601" s="81">
        <v>0</v>
      </c>
      <c r="Y601" s="81">
        <v>0</v>
      </c>
      <c r="Z601" s="81">
        <v>0</v>
      </c>
      <c r="AA601" s="81">
        <v>0</v>
      </c>
      <c r="AB601" s="81">
        <v>0</v>
      </c>
      <c r="AC601" s="81">
        <v>0</v>
      </c>
      <c r="AD601" s="83">
        <f t="shared" si="42"/>
        <v>99.999999999999986</v>
      </c>
      <c r="AE601" s="81">
        <v>0</v>
      </c>
      <c r="AF601" s="81">
        <v>0</v>
      </c>
      <c r="AG601" s="81">
        <v>0</v>
      </c>
      <c r="AH601" s="81">
        <v>0</v>
      </c>
      <c r="AI601" s="79" t="s">
        <v>1528</v>
      </c>
      <c r="AJ601" s="65"/>
      <c r="AK601" s="78"/>
      <c r="AL601" s="200"/>
      <c r="AM601" s="190"/>
      <c r="AN601" s="190"/>
      <c r="AO601" s="190"/>
      <c r="AP601" s="190"/>
      <c r="AQ601" s="190"/>
      <c r="AR601" s="190"/>
      <c r="AS601" s="190"/>
      <c r="AT601" s="201"/>
      <c r="AU601" s="190"/>
      <c r="AV601" s="202"/>
      <c r="AW601" s="190"/>
      <c r="AX601" s="190"/>
      <c r="AY601" s="79">
        <v>0.03</v>
      </c>
      <c r="AZ601" s="65">
        <v>200.2</v>
      </c>
      <c r="BA601" s="78"/>
      <c r="BB601" s="65" t="s">
        <v>524</v>
      </c>
      <c r="BC601" s="65" t="s">
        <v>925</v>
      </c>
      <c r="BD601" s="65" t="s">
        <v>928</v>
      </c>
      <c r="BE601" s="65" t="s">
        <v>932</v>
      </c>
      <c r="BF601" s="79"/>
      <c r="BG601" s="65"/>
      <c r="BH601" s="78"/>
      <c r="BI601" s="65"/>
      <c r="BJ601" s="68"/>
      <c r="BK601" s="256"/>
    </row>
    <row r="602" spans="1:63" s="4" customFormat="1" ht="23.25" customHeight="1" x14ac:dyDescent="0.2">
      <c r="A602" s="62">
        <v>601</v>
      </c>
      <c r="B602" s="238">
        <v>634</v>
      </c>
      <c r="C602" s="238" t="s">
        <v>1814</v>
      </c>
      <c r="D602" s="12" t="s">
        <v>143</v>
      </c>
      <c r="E602" s="12"/>
      <c r="F602" s="87">
        <v>84.5</v>
      </c>
      <c r="G602" s="88">
        <v>8.3571428571428559</v>
      </c>
      <c r="H602" s="88">
        <v>0</v>
      </c>
      <c r="I602" s="88">
        <v>0</v>
      </c>
      <c r="J602" s="88">
        <v>0</v>
      </c>
      <c r="K602" s="88">
        <v>0</v>
      </c>
      <c r="L602" s="88">
        <v>0</v>
      </c>
      <c r="M602" s="88">
        <v>0</v>
      </c>
      <c r="N602" s="88">
        <v>0</v>
      </c>
      <c r="O602" s="88">
        <v>0</v>
      </c>
      <c r="P602" s="88">
        <v>0</v>
      </c>
      <c r="Q602" s="88">
        <v>0</v>
      </c>
      <c r="R602" s="88">
        <v>0</v>
      </c>
      <c r="S602" s="89">
        <v>0</v>
      </c>
      <c r="T602" s="88">
        <v>7.1428571428571423</v>
      </c>
      <c r="U602" s="88">
        <v>0</v>
      </c>
      <c r="V602" s="88">
        <v>0</v>
      </c>
      <c r="W602" s="88">
        <v>0</v>
      </c>
      <c r="X602" s="88">
        <v>0</v>
      </c>
      <c r="Y602" s="88">
        <v>0</v>
      </c>
      <c r="Z602" s="88">
        <v>0</v>
      </c>
      <c r="AA602" s="88">
        <v>0</v>
      </c>
      <c r="AB602" s="88">
        <v>0</v>
      </c>
      <c r="AC602" s="88">
        <v>0</v>
      </c>
      <c r="AD602" s="90">
        <f t="shared" si="42"/>
        <v>100</v>
      </c>
      <c r="AE602" s="88">
        <v>0</v>
      </c>
      <c r="AF602" s="88">
        <v>0</v>
      </c>
      <c r="AG602" s="88">
        <v>0</v>
      </c>
      <c r="AH602" s="88">
        <v>0</v>
      </c>
      <c r="AI602" s="156"/>
      <c r="AJ602" s="45"/>
      <c r="AK602" s="91"/>
      <c r="AL602" s="197"/>
      <c r="AM602" s="189"/>
      <c r="AN602" s="189"/>
      <c r="AO602" s="189"/>
      <c r="AP602" s="189"/>
      <c r="AQ602" s="189"/>
      <c r="AR602" s="189"/>
      <c r="AS602" s="189"/>
      <c r="AT602" s="198"/>
      <c r="AU602" s="189"/>
      <c r="AV602" s="199"/>
      <c r="AW602" s="189"/>
      <c r="AX602" s="189"/>
      <c r="AY602" s="156"/>
      <c r="AZ602" s="45">
        <v>175</v>
      </c>
      <c r="BA602" s="91"/>
      <c r="BB602" s="45" t="s">
        <v>523</v>
      </c>
      <c r="BC602" s="45" t="s">
        <v>958</v>
      </c>
      <c r="BD602" s="45"/>
      <c r="BE602" s="45"/>
      <c r="BF602" s="156"/>
      <c r="BG602" s="45"/>
      <c r="BH602" s="91"/>
      <c r="BI602" s="45"/>
      <c r="BJ602" s="67"/>
      <c r="BK602" s="41"/>
    </row>
    <row r="603" spans="1:63" ht="23.25" customHeight="1" x14ac:dyDescent="0.2">
      <c r="A603" s="7">
        <v>602</v>
      </c>
      <c r="B603" s="221"/>
      <c r="C603" s="221"/>
      <c r="D603" s="54" t="s">
        <v>26</v>
      </c>
      <c r="E603" s="54"/>
      <c r="F603" s="16">
        <v>84.285714285714292</v>
      </c>
      <c r="G603" s="8">
        <v>8.5714285714285712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17">
        <v>0</v>
      </c>
      <c r="T603" s="8">
        <v>7.1428571428571423</v>
      </c>
      <c r="U603" s="8">
        <v>0</v>
      </c>
      <c r="V603" s="8">
        <v>0</v>
      </c>
      <c r="W603" s="8">
        <v>0</v>
      </c>
      <c r="X603" s="8">
        <v>0</v>
      </c>
      <c r="Y603" s="8">
        <v>0</v>
      </c>
      <c r="Z603" s="8">
        <v>0</v>
      </c>
      <c r="AA603" s="8">
        <v>0</v>
      </c>
      <c r="AB603" s="8">
        <v>0</v>
      </c>
      <c r="AC603" s="8">
        <v>0</v>
      </c>
      <c r="AD603" s="14">
        <f t="shared" si="42"/>
        <v>100</v>
      </c>
      <c r="AE603" s="8">
        <v>0</v>
      </c>
      <c r="AF603" s="8">
        <v>0</v>
      </c>
      <c r="AG603" s="8">
        <v>0</v>
      </c>
      <c r="AH603" s="8">
        <v>0</v>
      </c>
      <c r="AJ603" s="7"/>
      <c r="AK603" s="62"/>
      <c r="AL603" s="158"/>
      <c r="AM603" s="85"/>
      <c r="AN603" s="85"/>
      <c r="AO603" s="85"/>
      <c r="AP603" s="85"/>
      <c r="AQ603" s="85"/>
      <c r="AR603" s="85"/>
      <c r="AS603" s="85"/>
      <c r="AT603" s="205"/>
      <c r="AU603" s="85"/>
      <c r="AV603" s="196"/>
      <c r="AW603" s="85">
        <v>11.488</v>
      </c>
      <c r="AX603" s="85">
        <v>11.547000000000001</v>
      </c>
      <c r="AY603" s="39"/>
      <c r="AZ603" s="7"/>
      <c r="BA603" s="62"/>
      <c r="BB603" s="7" t="s">
        <v>523</v>
      </c>
      <c r="BC603" s="7" t="s">
        <v>959</v>
      </c>
      <c r="BD603" s="7" t="s">
        <v>941</v>
      </c>
      <c r="BE603" s="7" t="s">
        <v>950</v>
      </c>
      <c r="BF603" s="39"/>
      <c r="BG603" s="7"/>
      <c r="BH603" s="62"/>
      <c r="BI603" s="7"/>
      <c r="BJ603" s="32"/>
      <c r="BK603" s="59"/>
    </row>
    <row r="604" spans="1:63" ht="23.25" customHeight="1" x14ac:dyDescent="0.2">
      <c r="A604" s="62">
        <v>603</v>
      </c>
      <c r="B604" s="221"/>
      <c r="C604" s="221"/>
      <c r="D604" s="54" t="s">
        <v>61</v>
      </c>
      <c r="E604" s="54"/>
      <c r="F604" s="16">
        <v>83.571428571428569</v>
      </c>
      <c r="G604" s="8">
        <v>9.2857142857142865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17">
        <v>0</v>
      </c>
      <c r="T604" s="8">
        <v>7.1428571428571423</v>
      </c>
      <c r="U604" s="8">
        <v>0</v>
      </c>
      <c r="V604" s="8">
        <v>0</v>
      </c>
      <c r="W604" s="8">
        <v>0</v>
      </c>
      <c r="X604" s="8">
        <v>0</v>
      </c>
      <c r="Y604" s="8">
        <v>0</v>
      </c>
      <c r="Z604" s="8">
        <v>0</v>
      </c>
      <c r="AA604" s="8">
        <v>0</v>
      </c>
      <c r="AB604" s="8">
        <v>0</v>
      </c>
      <c r="AC604" s="8">
        <v>0</v>
      </c>
      <c r="AD604" s="14">
        <f t="shared" si="42"/>
        <v>100</v>
      </c>
      <c r="AE604" s="8">
        <v>0</v>
      </c>
      <c r="AF604" s="8">
        <v>0</v>
      </c>
      <c r="AG604" s="8">
        <v>0</v>
      </c>
      <c r="AH604" s="8">
        <v>0</v>
      </c>
      <c r="AJ604" s="7"/>
      <c r="AK604" s="62"/>
      <c r="AL604" s="158"/>
      <c r="AM604" s="85"/>
      <c r="AN604" s="85"/>
      <c r="AO604" s="85"/>
      <c r="AP604" s="85"/>
      <c r="AQ604" s="85"/>
      <c r="AR604" s="85"/>
      <c r="AS604" s="85"/>
      <c r="AT604" s="205"/>
      <c r="AU604" s="85"/>
      <c r="AV604" s="196"/>
      <c r="AW604" s="85"/>
      <c r="AX604" s="85"/>
      <c r="AY604" s="39"/>
      <c r="AZ604" s="7">
        <v>183</v>
      </c>
      <c r="BA604" s="62"/>
      <c r="BB604" s="7" t="s">
        <v>523</v>
      </c>
      <c r="BC604" s="7" t="s">
        <v>960</v>
      </c>
      <c r="BD604" s="7" t="s">
        <v>942</v>
      </c>
      <c r="BE604" s="7" t="s">
        <v>951</v>
      </c>
      <c r="BF604" s="39"/>
      <c r="BG604" s="7"/>
      <c r="BH604" s="62"/>
      <c r="BI604" s="7"/>
      <c r="BJ604" s="32"/>
      <c r="BK604" s="59"/>
    </row>
    <row r="605" spans="1:63" ht="23.25" customHeight="1" x14ac:dyDescent="0.2">
      <c r="A605" s="7">
        <v>604</v>
      </c>
      <c r="B605" s="221"/>
      <c r="C605" s="221"/>
      <c r="D605" s="54" t="s">
        <v>17</v>
      </c>
      <c r="E605" s="54"/>
      <c r="F605" s="16">
        <v>82.857142857142847</v>
      </c>
      <c r="G605" s="8">
        <v>10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17">
        <v>0</v>
      </c>
      <c r="T605" s="8">
        <v>7.1428571428571423</v>
      </c>
      <c r="U605" s="8">
        <v>0</v>
      </c>
      <c r="V605" s="8">
        <v>0</v>
      </c>
      <c r="W605" s="8">
        <v>0</v>
      </c>
      <c r="X605" s="8">
        <v>0</v>
      </c>
      <c r="Y605" s="8">
        <v>0</v>
      </c>
      <c r="Z605" s="8">
        <v>0</v>
      </c>
      <c r="AA605" s="8">
        <v>0</v>
      </c>
      <c r="AB605" s="8">
        <v>0</v>
      </c>
      <c r="AC605" s="8">
        <v>0</v>
      </c>
      <c r="AD605" s="14">
        <f t="shared" si="42"/>
        <v>99.999999999999986</v>
      </c>
      <c r="AE605" s="8">
        <v>0</v>
      </c>
      <c r="AF605" s="8">
        <v>0</v>
      </c>
      <c r="AG605" s="8">
        <v>0</v>
      </c>
      <c r="AH605" s="8">
        <v>0</v>
      </c>
      <c r="AJ605" s="7"/>
      <c r="AK605" s="62"/>
      <c r="AL605" s="158"/>
      <c r="AM605" s="85"/>
      <c r="AN605" s="85"/>
      <c r="AO605" s="85"/>
      <c r="AP605" s="85"/>
      <c r="AQ605" s="85"/>
      <c r="AR605" s="85"/>
      <c r="AS605" s="85"/>
      <c r="AT605" s="205"/>
      <c r="AU605" s="85"/>
      <c r="AV605" s="196"/>
      <c r="AW605" s="85"/>
      <c r="AX605" s="85"/>
      <c r="AY605" s="39"/>
      <c r="AZ605" s="7">
        <v>188</v>
      </c>
      <c r="BA605" s="62"/>
      <c r="BB605" s="7" t="s">
        <v>523</v>
      </c>
      <c r="BC605" s="7" t="s">
        <v>961</v>
      </c>
      <c r="BD605" s="7" t="s">
        <v>943</v>
      </c>
      <c r="BE605" s="7" t="s">
        <v>952</v>
      </c>
      <c r="BF605" s="39"/>
      <c r="BG605" s="7"/>
      <c r="BH605" s="62"/>
      <c r="BI605" s="7"/>
      <c r="BJ605" s="32"/>
      <c r="BK605" s="59"/>
    </row>
    <row r="606" spans="1:63" ht="23.25" customHeight="1" x14ac:dyDescent="0.2">
      <c r="A606" s="62">
        <v>605</v>
      </c>
      <c r="B606" s="221"/>
      <c r="C606" s="221"/>
      <c r="D606" s="54" t="s">
        <v>10</v>
      </c>
      <c r="E606" s="54"/>
      <c r="F606" s="16">
        <v>82.142857142857139</v>
      </c>
      <c r="G606" s="8">
        <v>10.714285714285714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17">
        <v>0</v>
      </c>
      <c r="T606" s="8">
        <v>7.1428571428571423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  <c r="AD606" s="14">
        <f t="shared" si="42"/>
        <v>99.999999999999986</v>
      </c>
      <c r="AE606" s="8">
        <v>0</v>
      </c>
      <c r="AF606" s="8">
        <v>0</v>
      </c>
      <c r="AG606" s="8">
        <v>0</v>
      </c>
      <c r="AH606" s="8">
        <v>0</v>
      </c>
      <c r="AJ606" s="7"/>
      <c r="AK606" s="62"/>
      <c r="AL606" s="158"/>
      <c r="AM606" s="85"/>
      <c r="AN606" s="85"/>
      <c r="AO606" s="85"/>
      <c r="AP606" s="85"/>
      <c r="AQ606" s="85"/>
      <c r="AR606" s="85"/>
      <c r="AS606" s="85"/>
      <c r="AT606" s="205"/>
      <c r="AU606" s="85"/>
      <c r="AV606" s="196"/>
      <c r="AW606" s="85"/>
      <c r="AX606" s="85"/>
      <c r="AY606" s="39"/>
      <c r="AZ606" s="7">
        <v>194</v>
      </c>
      <c r="BA606" s="62"/>
      <c r="BB606" s="7" t="s">
        <v>523</v>
      </c>
      <c r="BC606" s="7" t="s">
        <v>962</v>
      </c>
      <c r="BD606" s="7" t="s">
        <v>944</v>
      </c>
      <c r="BE606" s="7" t="s">
        <v>951</v>
      </c>
      <c r="BF606" s="39"/>
      <c r="BG606" s="7"/>
      <c r="BH606" s="62"/>
      <c r="BI606" s="7"/>
      <c r="BJ606" s="32"/>
      <c r="BK606" s="59"/>
    </row>
    <row r="607" spans="1:63" ht="23.25" customHeight="1" x14ac:dyDescent="0.2">
      <c r="A607" s="7">
        <v>606</v>
      </c>
      <c r="B607" s="221"/>
      <c r="C607" s="221"/>
      <c r="D607" s="54" t="s">
        <v>10</v>
      </c>
      <c r="E607" s="54"/>
      <c r="F607" s="16">
        <v>82.142857142857139</v>
      </c>
      <c r="G607" s="8">
        <v>10.714285714285714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17">
        <v>0</v>
      </c>
      <c r="T607" s="8">
        <v>7.1428571428571423</v>
      </c>
      <c r="U607" s="8">
        <v>0</v>
      </c>
      <c r="V607" s="8">
        <v>0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14">
        <f t="shared" si="42"/>
        <v>99.999999999999986</v>
      </c>
      <c r="AE607" s="8">
        <v>0</v>
      </c>
      <c r="AF607" s="8">
        <v>0</v>
      </c>
      <c r="AG607" s="8">
        <v>0</v>
      </c>
      <c r="AH607" s="8">
        <v>0</v>
      </c>
      <c r="AI607" s="39" t="s">
        <v>1531</v>
      </c>
      <c r="AJ607" s="7">
        <v>960</v>
      </c>
      <c r="AK607" s="62">
        <v>1373</v>
      </c>
      <c r="AL607" s="158"/>
      <c r="AM607" s="85"/>
      <c r="AN607" s="85"/>
      <c r="AO607" s="85"/>
      <c r="AP607" s="85"/>
      <c r="AQ607" s="85"/>
      <c r="AR607" s="85"/>
      <c r="AS607" s="85"/>
      <c r="AT607" s="205"/>
      <c r="AU607" s="85"/>
      <c r="AV607" s="196"/>
      <c r="AW607" s="85"/>
      <c r="AX607" s="85"/>
      <c r="AY607" s="39">
        <v>0.01</v>
      </c>
      <c r="AZ607" s="7">
        <v>194</v>
      </c>
      <c r="BA607" s="62">
        <v>1.4</v>
      </c>
      <c r="BB607" s="7" t="s">
        <v>523</v>
      </c>
      <c r="BC607" s="7" t="s">
        <v>963</v>
      </c>
      <c r="BD607" s="7"/>
      <c r="BE607" s="7"/>
      <c r="BF607" s="39"/>
      <c r="BG607" s="7"/>
      <c r="BH607" s="62"/>
      <c r="BI607" s="7"/>
      <c r="BJ607" s="32"/>
      <c r="BK607" s="59"/>
    </row>
    <row r="608" spans="1:63" ht="23.25" customHeight="1" x14ac:dyDescent="0.2">
      <c r="A608" s="62">
        <v>607</v>
      </c>
      <c r="B608" s="221"/>
      <c r="C608" s="221"/>
      <c r="D608" s="54" t="s">
        <v>10</v>
      </c>
      <c r="E608" s="54"/>
      <c r="F608" s="16">
        <v>82.142857142857139</v>
      </c>
      <c r="G608" s="8">
        <v>10.714285714285714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17">
        <v>0</v>
      </c>
      <c r="T608" s="8">
        <v>7.1428571428571423</v>
      </c>
      <c r="U608" s="8">
        <v>0</v>
      </c>
      <c r="V608" s="8">
        <v>0</v>
      </c>
      <c r="W608" s="8">
        <v>0</v>
      </c>
      <c r="X608" s="8">
        <v>0</v>
      </c>
      <c r="Y608" s="8">
        <v>0</v>
      </c>
      <c r="Z608" s="8">
        <v>0</v>
      </c>
      <c r="AA608" s="8">
        <v>0</v>
      </c>
      <c r="AB608" s="8">
        <v>0</v>
      </c>
      <c r="AC608" s="8">
        <v>0</v>
      </c>
      <c r="AD608" s="14">
        <f t="shared" si="42"/>
        <v>99.999999999999986</v>
      </c>
      <c r="AE608" s="8">
        <v>0</v>
      </c>
      <c r="AF608" s="8">
        <v>0</v>
      </c>
      <c r="AG608" s="8">
        <v>0</v>
      </c>
      <c r="AH608" s="8">
        <v>0</v>
      </c>
      <c r="AJ608" s="7"/>
      <c r="AK608" s="62"/>
      <c r="AL608" s="158"/>
      <c r="AM608" s="85"/>
      <c r="AN608" s="85"/>
      <c r="AO608" s="85"/>
      <c r="AP608" s="85"/>
      <c r="AQ608" s="85"/>
      <c r="AR608" s="85"/>
      <c r="AS608" s="85"/>
      <c r="AT608" s="205"/>
      <c r="AU608" s="85"/>
      <c r="AV608" s="196"/>
      <c r="AW608" s="85"/>
      <c r="AX608" s="85"/>
      <c r="AY608" s="39">
        <v>0.01</v>
      </c>
      <c r="AZ608" s="7">
        <v>195</v>
      </c>
      <c r="BA608" s="62"/>
      <c r="BB608" s="7" t="s">
        <v>523</v>
      </c>
      <c r="BC608" s="7" t="s">
        <v>964</v>
      </c>
      <c r="BD608" s="7" t="s">
        <v>945</v>
      </c>
      <c r="BE608" s="7" t="s">
        <v>953</v>
      </c>
      <c r="BF608" s="39"/>
      <c r="BG608" s="7"/>
      <c r="BH608" s="62"/>
      <c r="BI608" s="7"/>
      <c r="BJ608" s="32"/>
      <c r="BK608" s="59"/>
    </row>
    <row r="609" spans="1:63" ht="23.25" customHeight="1" x14ac:dyDescent="0.2">
      <c r="A609" s="7">
        <v>608</v>
      </c>
      <c r="B609" s="221"/>
      <c r="C609" s="221"/>
      <c r="D609" s="54" t="s">
        <v>0</v>
      </c>
      <c r="E609" s="54"/>
      <c r="F609" s="16">
        <v>81.428571428571431</v>
      </c>
      <c r="G609" s="8">
        <v>11.428571428571429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17">
        <v>0</v>
      </c>
      <c r="T609" s="8">
        <v>7.1428571428571423</v>
      </c>
      <c r="U609" s="8">
        <v>0</v>
      </c>
      <c r="V609" s="8">
        <v>0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  <c r="AB609" s="8">
        <v>0</v>
      </c>
      <c r="AC609" s="8">
        <v>0</v>
      </c>
      <c r="AD609" s="14">
        <f t="shared" si="42"/>
        <v>100</v>
      </c>
      <c r="AE609" s="8">
        <v>0</v>
      </c>
      <c r="AF609" s="8">
        <v>0</v>
      </c>
      <c r="AG609" s="8">
        <v>0</v>
      </c>
      <c r="AH609" s="8">
        <v>0</v>
      </c>
      <c r="AJ609" s="7"/>
      <c r="AK609" s="62"/>
      <c r="AL609" s="158"/>
      <c r="AM609" s="85"/>
      <c r="AN609" s="85"/>
      <c r="AO609" s="85"/>
      <c r="AP609" s="85"/>
      <c r="AQ609" s="85"/>
      <c r="AR609" s="85"/>
      <c r="AS609" s="85"/>
      <c r="AT609" s="205"/>
      <c r="AU609" s="85"/>
      <c r="AV609" s="196"/>
      <c r="AW609" s="85">
        <v>11.486000000000001</v>
      </c>
      <c r="AX609" s="85">
        <v>11.523999999999999</v>
      </c>
      <c r="AY609" s="39"/>
      <c r="AZ609" s="7">
        <v>199</v>
      </c>
      <c r="BA609" s="62"/>
      <c r="BB609" s="7" t="s">
        <v>523</v>
      </c>
      <c r="BC609" s="7" t="s">
        <v>965</v>
      </c>
      <c r="BD609" s="7" t="s">
        <v>946</v>
      </c>
      <c r="BE609" s="7" t="s">
        <v>954</v>
      </c>
      <c r="BF609" s="39"/>
      <c r="BG609" s="7"/>
      <c r="BH609" s="62"/>
      <c r="BI609" s="7"/>
      <c r="BJ609" s="32"/>
      <c r="BK609" s="59"/>
    </row>
    <row r="610" spans="1:63" ht="23.25" customHeight="1" x14ac:dyDescent="0.2">
      <c r="A610" s="62">
        <v>609</v>
      </c>
      <c r="B610" s="221"/>
      <c r="C610" s="221"/>
      <c r="D610" s="54" t="s">
        <v>0</v>
      </c>
      <c r="E610" s="54"/>
      <c r="F610" s="16">
        <v>81.428571428571431</v>
      </c>
      <c r="G610" s="8">
        <v>11.428571428571429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17">
        <v>0</v>
      </c>
      <c r="T610" s="8">
        <v>7.1428571428571423</v>
      </c>
      <c r="U610" s="8">
        <v>0</v>
      </c>
      <c r="V610" s="8">
        <v>0</v>
      </c>
      <c r="W610" s="8">
        <v>0</v>
      </c>
      <c r="X610" s="8">
        <v>0</v>
      </c>
      <c r="Y610" s="8">
        <v>0</v>
      </c>
      <c r="Z610" s="8">
        <v>0</v>
      </c>
      <c r="AA610" s="8">
        <v>0</v>
      </c>
      <c r="AB610" s="8">
        <v>0</v>
      </c>
      <c r="AC610" s="8">
        <v>0</v>
      </c>
      <c r="AD610" s="14">
        <f t="shared" si="42"/>
        <v>100</v>
      </c>
      <c r="AE610" s="8">
        <v>0</v>
      </c>
      <c r="AF610" s="8">
        <v>0</v>
      </c>
      <c r="AG610" s="8">
        <v>0</v>
      </c>
      <c r="AH610" s="8">
        <v>0</v>
      </c>
      <c r="AJ610" s="7"/>
      <c r="AK610" s="62"/>
      <c r="AL610" s="158"/>
      <c r="AM610" s="85"/>
      <c r="AN610" s="85"/>
      <c r="AO610" s="85"/>
      <c r="AP610" s="85"/>
      <c r="AQ610" s="85"/>
      <c r="AR610" s="85"/>
      <c r="AS610" s="85"/>
      <c r="AT610" s="205"/>
      <c r="AU610" s="85"/>
      <c r="AV610" s="196"/>
      <c r="AW610" s="85"/>
      <c r="AX610" s="85"/>
      <c r="AY610" s="39"/>
      <c r="AZ610" s="7">
        <v>209</v>
      </c>
      <c r="BA610" s="62"/>
      <c r="BB610" s="7" t="s">
        <v>523</v>
      </c>
      <c r="BC610" s="7" t="s">
        <v>680</v>
      </c>
      <c r="BD610" s="7"/>
      <c r="BE610" s="7"/>
      <c r="BF610" s="39"/>
      <c r="BG610" s="7"/>
      <c r="BH610" s="62"/>
      <c r="BI610" s="7"/>
      <c r="BJ610" s="32"/>
      <c r="BK610" s="59"/>
    </row>
    <row r="611" spans="1:63" ht="23.25" customHeight="1" x14ac:dyDescent="0.2">
      <c r="A611" s="7">
        <v>610</v>
      </c>
      <c r="B611" s="221"/>
      <c r="C611" s="221"/>
      <c r="D611" s="54" t="s">
        <v>158</v>
      </c>
      <c r="E611" s="54"/>
      <c r="F611" s="16">
        <v>80.714285714285722</v>
      </c>
      <c r="G611" s="8">
        <v>12.142857142857142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17">
        <v>0</v>
      </c>
      <c r="T611" s="8">
        <v>7.1428571428571423</v>
      </c>
      <c r="U611" s="8">
        <v>0</v>
      </c>
      <c r="V611" s="8">
        <v>0</v>
      </c>
      <c r="W611" s="8">
        <v>0</v>
      </c>
      <c r="X611" s="8">
        <v>0</v>
      </c>
      <c r="Y611" s="8">
        <v>0</v>
      </c>
      <c r="Z611" s="8">
        <v>0</v>
      </c>
      <c r="AA611" s="8">
        <v>0</v>
      </c>
      <c r="AB611" s="8">
        <v>0</v>
      </c>
      <c r="AC611" s="8">
        <v>0</v>
      </c>
      <c r="AD611" s="14">
        <f t="shared" si="42"/>
        <v>100</v>
      </c>
      <c r="AE611" s="8">
        <v>0</v>
      </c>
      <c r="AF611" s="8">
        <v>0</v>
      </c>
      <c r="AG611" s="8">
        <v>0</v>
      </c>
      <c r="AH611" s="8">
        <v>0</v>
      </c>
      <c r="AJ611" s="7"/>
      <c r="AK611" s="62"/>
      <c r="AL611" s="158"/>
      <c r="AM611" s="85"/>
      <c r="AN611" s="85"/>
      <c r="AO611" s="85"/>
      <c r="AP611" s="85"/>
      <c r="AQ611" s="85"/>
      <c r="AR611" s="85"/>
      <c r="AS611" s="85"/>
      <c r="AT611" s="205"/>
      <c r="AU611" s="85"/>
      <c r="AV611" s="196"/>
      <c r="AW611" s="85"/>
      <c r="AX611" s="85"/>
      <c r="AY611" s="39"/>
      <c r="AZ611" s="7">
        <v>206</v>
      </c>
      <c r="BA611" s="62"/>
      <c r="BB611" s="7" t="s">
        <v>523</v>
      </c>
      <c r="BC611" s="7" t="s">
        <v>966</v>
      </c>
      <c r="BD611" s="7" t="s">
        <v>947</v>
      </c>
      <c r="BE611" s="7" t="s">
        <v>955</v>
      </c>
      <c r="BF611" s="39"/>
      <c r="BG611" s="7"/>
      <c r="BH611" s="62"/>
      <c r="BI611" s="7"/>
      <c r="BJ611" s="32"/>
      <c r="BK611" s="59"/>
    </row>
    <row r="612" spans="1:63" ht="23.25" customHeight="1" x14ac:dyDescent="0.2">
      <c r="A612" s="62">
        <v>611</v>
      </c>
      <c r="B612" s="221"/>
      <c r="C612" s="221"/>
      <c r="D612" s="54" t="s">
        <v>11</v>
      </c>
      <c r="E612" s="54"/>
      <c r="F612" s="16">
        <v>80</v>
      </c>
      <c r="G612" s="8">
        <v>12.857142857142859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17">
        <v>0</v>
      </c>
      <c r="T612" s="8">
        <v>7.1428571428571423</v>
      </c>
      <c r="U612" s="8">
        <v>0</v>
      </c>
      <c r="V612" s="8">
        <v>0</v>
      </c>
      <c r="W612" s="8">
        <v>0</v>
      </c>
      <c r="X612" s="8">
        <v>0</v>
      </c>
      <c r="Y612" s="8">
        <v>0</v>
      </c>
      <c r="Z612" s="8">
        <v>0</v>
      </c>
      <c r="AA612" s="8">
        <v>0</v>
      </c>
      <c r="AB612" s="8">
        <v>0</v>
      </c>
      <c r="AC612" s="8">
        <v>0</v>
      </c>
      <c r="AD612" s="14">
        <f t="shared" si="42"/>
        <v>100</v>
      </c>
      <c r="AE612" s="8">
        <v>0</v>
      </c>
      <c r="AF612" s="8">
        <v>0</v>
      </c>
      <c r="AG612" s="8">
        <v>0</v>
      </c>
      <c r="AH612" s="8">
        <v>0</v>
      </c>
      <c r="AJ612" s="7"/>
      <c r="AK612" s="62"/>
      <c r="AL612" s="158"/>
      <c r="AM612" s="85"/>
      <c r="AN612" s="85"/>
      <c r="AO612" s="85"/>
      <c r="AP612" s="85"/>
      <c r="AQ612" s="85"/>
      <c r="AR612" s="85"/>
      <c r="AS612" s="85"/>
      <c r="AT612" s="205"/>
      <c r="AU612" s="85"/>
      <c r="AV612" s="196"/>
      <c r="AW612" s="85">
        <v>11.476000000000001</v>
      </c>
      <c r="AX612" s="85">
        <v>11.507</v>
      </c>
      <c r="AY612" s="39"/>
      <c r="AZ612" s="7">
        <v>210</v>
      </c>
      <c r="BA612" s="62"/>
      <c r="BB612" s="7" t="s">
        <v>523</v>
      </c>
      <c r="BC612" s="7" t="s">
        <v>967</v>
      </c>
      <c r="BD612" s="7" t="s">
        <v>948</v>
      </c>
      <c r="BE612" s="7" t="s">
        <v>956</v>
      </c>
      <c r="BF612" s="39"/>
      <c r="BG612" s="7"/>
      <c r="BH612" s="62"/>
      <c r="BI612" s="7"/>
      <c r="BJ612" s="32"/>
      <c r="BK612" s="59"/>
    </row>
    <row r="613" spans="1:63" ht="23.25" customHeight="1" x14ac:dyDescent="0.2">
      <c r="A613" s="7">
        <v>612</v>
      </c>
      <c r="B613" s="221"/>
      <c r="C613" s="221"/>
      <c r="D613" s="54" t="s">
        <v>159</v>
      </c>
      <c r="E613" s="54"/>
      <c r="F613" s="16">
        <v>78.571428571428569</v>
      </c>
      <c r="G613" s="8">
        <v>14.285714285714285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17">
        <v>0</v>
      </c>
      <c r="T613" s="8">
        <v>7.1428571428571423</v>
      </c>
      <c r="U613" s="8">
        <v>0</v>
      </c>
      <c r="V613" s="8">
        <v>0</v>
      </c>
      <c r="W613" s="8">
        <v>0</v>
      </c>
      <c r="X613" s="8">
        <v>0</v>
      </c>
      <c r="Y613" s="8">
        <v>0</v>
      </c>
      <c r="Z613" s="8">
        <v>0</v>
      </c>
      <c r="AA613" s="8">
        <v>0</v>
      </c>
      <c r="AB613" s="8">
        <v>0</v>
      </c>
      <c r="AC613" s="8">
        <v>0</v>
      </c>
      <c r="AD613" s="14">
        <f t="shared" si="42"/>
        <v>100</v>
      </c>
      <c r="AE613" s="8">
        <v>0</v>
      </c>
      <c r="AF613" s="8">
        <v>0</v>
      </c>
      <c r="AG613" s="8">
        <v>0</v>
      </c>
      <c r="AH613" s="8">
        <v>0</v>
      </c>
      <c r="AJ613" s="7"/>
      <c r="AK613" s="62"/>
      <c r="AL613" s="158"/>
      <c r="AM613" s="85"/>
      <c r="AN613" s="85"/>
      <c r="AO613" s="85"/>
      <c r="AP613" s="85"/>
      <c r="AQ613" s="85"/>
      <c r="AR613" s="85"/>
      <c r="AS613" s="85"/>
      <c r="AT613" s="205"/>
      <c r="AU613" s="85"/>
      <c r="AV613" s="196"/>
      <c r="AW613" s="85">
        <v>11.472</v>
      </c>
      <c r="AX613" s="85">
        <v>11.497</v>
      </c>
      <c r="AY613" s="39"/>
      <c r="AZ613" s="7">
        <v>221</v>
      </c>
      <c r="BA613" s="62"/>
      <c r="BB613" s="7" t="s">
        <v>523</v>
      </c>
      <c r="BC613" s="7" t="s">
        <v>968</v>
      </c>
      <c r="BD613" s="7" t="s">
        <v>949</v>
      </c>
      <c r="BE613" s="7" t="s">
        <v>957</v>
      </c>
      <c r="BF613" s="39"/>
      <c r="BG613" s="7"/>
      <c r="BH613" s="62"/>
      <c r="BI613" s="7"/>
      <c r="BJ613" s="32"/>
      <c r="BK613" s="59"/>
    </row>
    <row r="614" spans="1:63" ht="23.25" customHeight="1" x14ac:dyDescent="0.2">
      <c r="A614" s="62">
        <v>613</v>
      </c>
      <c r="B614" s="221"/>
      <c r="C614" s="221"/>
      <c r="D614" s="54" t="s">
        <v>62</v>
      </c>
      <c r="E614" s="54"/>
      <c r="F614" s="16">
        <v>75.714285714285708</v>
      </c>
      <c r="G614" s="8">
        <v>17.142857142857142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17">
        <v>0</v>
      </c>
      <c r="T614" s="8">
        <v>7.1428571428571423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14">
        <f t="shared" si="42"/>
        <v>99.999999999999986</v>
      </c>
      <c r="AE614" s="8">
        <v>0</v>
      </c>
      <c r="AF614" s="8">
        <v>0</v>
      </c>
      <c r="AG614" s="8">
        <v>0</v>
      </c>
      <c r="AH614" s="8">
        <v>0</v>
      </c>
      <c r="AJ614" s="7"/>
      <c r="AK614" s="62"/>
      <c r="AL614" s="158"/>
      <c r="AM614" s="85"/>
      <c r="AN614" s="85"/>
      <c r="AO614" s="85"/>
      <c r="AP614" s="85"/>
      <c r="AQ614" s="85"/>
      <c r="AR614" s="85"/>
      <c r="AS614" s="85"/>
      <c r="AT614" s="205"/>
      <c r="AU614" s="85"/>
      <c r="AV614" s="196"/>
      <c r="AW614" s="85">
        <v>11.465</v>
      </c>
      <c r="AX614" s="85">
        <v>11.48</v>
      </c>
      <c r="AY614" s="39"/>
      <c r="AZ614" s="7"/>
      <c r="BA614" s="62"/>
      <c r="BB614" s="7">
        <v>2</v>
      </c>
      <c r="BC614" s="7">
        <v>2.8</v>
      </c>
      <c r="BD614" s="7"/>
      <c r="BE614" s="7"/>
      <c r="BF614" s="39"/>
      <c r="BG614" s="7"/>
      <c r="BH614" s="62"/>
      <c r="BI614" s="7"/>
      <c r="BJ614" s="32"/>
      <c r="BK614" s="59"/>
    </row>
    <row r="615" spans="1:63" ht="23.25" customHeight="1" x14ac:dyDescent="0.2">
      <c r="A615" s="7">
        <v>614</v>
      </c>
      <c r="B615" s="221"/>
      <c r="C615" s="221"/>
      <c r="D615" s="54" t="s">
        <v>1</v>
      </c>
      <c r="E615" s="54"/>
      <c r="F615" s="16">
        <v>74.285714285714292</v>
      </c>
      <c r="G615" s="8">
        <v>18.571428571428573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>
        <v>0</v>
      </c>
      <c r="S615" s="17">
        <v>0</v>
      </c>
      <c r="T615" s="8">
        <v>7.1428571428571423</v>
      </c>
      <c r="U615" s="8">
        <v>0</v>
      </c>
      <c r="V615" s="8">
        <v>0</v>
      </c>
      <c r="W615" s="8">
        <v>0</v>
      </c>
      <c r="X615" s="8">
        <v>0</v>
      </c>
      <c r="Y615" s="8">
        <v>0</v>
      </c>
      <c r="Z615" s="8">
        <v>0</v>
      </c>
      <c r="AA615" s="8">
        <v>0</v>
      </c>
      <c r="AB615" s="8">
        <v>0</v>
      </c>
      <c r="AC615" s="8">
        <v>0</v>
      </c>
      <c r="AD615" s="14">
        <f t="shared" si="42"/>
        <v>100</v>
      </c>
      <c r="AE615" s="8">
        <v>0</v>
      </c>
      <c r="AF615" s="8">
        <v>0</v>
      </c>
      <c r="AG615" s="8">
        <v>0</v>
      </c>
      <c r="AH615" s="8">
        <v>0</v>
      </c>
      <c r="AJ615" s="7"/>
      <c r="AK615" s="62"/>
      <c r="AL615" s="158"/>
      <c r="AM615" s="85"/>
      <c r="AN615" s="85"/>
      <c r="AO615" s="85"/>
      <c r="AP615" s="85"/>
      <c r="AQ615" s="85"/>
      <c r="AR615" s="85"/>
      <c r="AS615" s="85"/>
      <c r="AT615" s="205"/>
      <c r="AU615" s="85"/>
      <c r="AV615" s="196"/>
      <c r="AW615" s="85">
        <v>11.46</v>
      </c>
      <c r="AX615" s="85">
        <v>11.468</v>
      </c>
      <c r="AY615" s="39"/>
      <c r="AZ615" s="7"/>
      <c r="BA615" s="62"/>
      <c r="BB615" s="7">
        <v>2</v>
      </c>
      <c r="BC615" s="7">
        <v>2.2999999999999998</v>
      </c>
      <c r="BD615" s="7"/>
      <c r="BE615" s="7"/>
      <c r="BF615" s="39"/>
      <c r="BG615" s="7"/>
      <c r="BH615" s="62"/>
      <c r="BI615" s="7"/>
      <c r="BJ615" s="32"/>
      <c r="BK615" s="59"/>
    </row>
    <row r="616" spans="1:63" ht="23.25" customHeight="1" x14ac:dyDescent="0.2">
      <c r="A616" s="62">
        <v>615</v>
      </c>
      <c r="B616" s="221"/>
      <c r="C616" s="221"/>
      <c r="D616" s="54" t="s">
        <v>166</v>
      </c>
      <c r="E616" s="54"/>
      <c r="F616" s="16">
        <v>82.735714285714195</v>
      </c>
      <c r="G616" s="8">
        <v>9.2857142857142794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0.83571428571428497</v>
      </c>
      <c r="Q616" s="8">
        <v>0</v>
      </c>
      <c r="R616" s="8">
        <v>0</v>
      </c>
      <c r="S616" s="17">
        <v>0</v>
      </c>
      <c r="T616" s="8">
        <v>7.1428571428571397</v>
      </c>
      <c r="U616" s="8">
        <v>0</v>
      </c>
      <c r="V616" s="8">
        <v>0</v>
      </c>
      <c r="W616" s="8">
        <v>0</v>
      </c>
      <c r="X616" s="8">
        <v>0</v>
      </c>
      <c r="Y616" s="8">
        <v>0</v>
      </c>
      <c r="Z616" s="8">
        <v>0</v>
      </c>
      <c r="AA616" s="8">
        <v>0</v>
      </c>
      <c r="AB616" s="8">
        <v>0</v>
      </c>
      <c r="AC616" s="8">
        <v>0</v>
      </c>
      <c r="AD616" s="14">
        <f t="shared" si="42"/>
        <v>99.999999999999901</v>
      </c>
      <c r="AE616" s="8">
        <f>1.8*100/14</f>
        <v>12.857142857142858</v>
      </c>
      <c r="AF616" s="8">
        <v>0</v>
      </c>
      <c r="AG616" s="8">
        <v>0</v>
      </c>
      <c r="AH616" s="8">
        <v>0</v>
      </c>
      <c r="AJ616" s="7"/>
      <c r="AK616" s="62"/>
      <c r="AL616" s="158"/>
      <c r="AM616" s="85"/>
      <c r="AN616" s="85"/>
      <c r="AO616" s="85"/>
      <c r="AP616" s="85"/>
      <c r="AQ616" s="85"/>
      <c r="AR616" s="85"/>
      <c r="AS616" s="85"/>
      <c r="AT616" s="205"/>
      <c r="AU616" s="85"/>
      <c r="AV616" s="196"/>
      <c r="AW616" s="85"/>
      <c r="AX616" s="85"/>
      <c r="AY616" s="39"/>
      <c r="AZ616" s="7">
        <v>336</v>
      </c>
      <c r="BA616" s="62"/>
      <c r="BB616" s="7" t="s">
        <v>523</v>
      </c>
      <c r="BC616" s="7" t="s">
        <v>685</v>
      </c>
      <c r="BD616" s="7" t="s">
        <v>936</v>
      </c>
      <c r="BE616" s="7" t="s">
        <v>937</v>
      </c>
      <c r="BF616" s="39"/>
      <c r="BG616" s="7"/>
      <c r="BH616" s="62"/>
      <c r="BI616" s="7"/>
      <c r="BJ616" s="32"/>
      <c r="BK616" s="226" t="s">
        <v>1724</v>
      </c>
    </row>
    <row r="617" spans="1:63" ht="23.25" customHeight="1" x14ac:dyDescent="0.2">
      <c r="A617" s="7">
        <v>616</v>
      </c>
      <c r="B617" s="221"/>
      <c r="C617" s="221"/>
      <c r="D617" s="54" t="s">
        <v>167</v>
      </c>
      <c r="E617" s="54"/>
      <c r="F617" s="16">
        <v>81.900000000000006</v>
      </c>
      <c r="G617" s="8">
        <v>9.2857142857142794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1.6714285714285699</v>
      </c>
      <c r="Q617" s="8">
        <v>0</v>
      </c>
      <c r="R617" s="8">
        <v>0</v>
      </c>
      <c r="S617" s="17">
        <v>0</v>
      </c>
      <c r="T617" s="8">
        <v>7.1428571428571397</v>
      </c>
      <c r="U617" s="8">
        <v>0</v>
      </c>
      <c r="V617" s="8">
        <v>0</v>
      </c>
      <c r="W617" s="8">
        <v>0</v>
      </c>
      <c r="X617" s="8">
        <v>0</v>
      </c>
      <c r="Y617" s="8">
        <v>0</v>
      </c>
      <c r="Z617" s="8">
        <v>0</v>
      </c>
      <c r="AA617" s="8">
        <v>0</v>
      </c>
      <c r="AB617" s="8">
        <v>0</v>
      </c>
      <c r="AC617" s="8">
        <v>0</v>
      </c>
      <c r="AD617" s="14">
        <f t="shared" si="42"/>
        <v>99.999999999999986</v>
      </c>
      <c r="AE617" s="8">
        <f>1.8*100/14</f>
        <v>12.857142857142858</v>
      </c>
      <c r="AF617" s="8">
        <v>0</v>
      </c>
      <c r="AG617" s="8">
        <v>0</v>
      </c>
      <c r="AH617" s="8">
        <v>0</v>
      </c>
      <c r="AJ617" s="7"/>
      <c r="AK617" s="62"/>
      <c r="AL617" s="158"/>
      <c r="AM617" s="85"/>
      <c r="AN617" s="85"/>
      <c r="AO617" s="85"/>
      <c r="AP617" s="85"/>
      <c r="AQ617" s="85"/>
      <c r="AR617" s="85"/>
      <c r="AS617" s="85"/>
      <c r="AT617" s="205"/>
      <c r="AU617" s="85"/>
      <c r="AV617" s="196"/>
      <c r="AW617" s="85"/>
      <c r="AX617" s="85"/>
      <c r="AY617" s="39"/>
      <c r="AZ617" s="7">
        <v>312</v>
      </c>
      <c r="BA617" s="62"/>
      <c r="BB617" s="7" t="s">
        <v>523</v>
      </c>
      <c r="BC617" s="7" t="s">
        <v>686</v>
      </c>
      <c r="BD617" s="7" t="s">
        <v>935</v>
      </c>
      <c r="BE617" s="7" t="s">
        <v>938</v>
      </c>
      <c r="BF617" s="39"/>
      <c r="BG617" s="7"/>
      <c r="BH617" s="62"/>
      <c r="BI617" s="7"/>
      <c r="BJ617" s="32"/>
      <c r="BK617" s="226"/>
    </row>
    <row r="618" spans="1:63" ht="23.25" customHeight="1" x14ac:dyDescent="0.2">
      <c r="A618" s="62">
        <v>617</v>
      </c>
      <c r="B618" s="221"/>
      <c r="C618" s="221"/>
      <c r="D618" s="54" t="s">
        <v>168</v>
      </c>
      <c r="E618" s="54"/>
      <c r="F618" s="16">
        <v>81.064285714285703</v>
      </c>
      <c r="G618" s="8">
        <v>9.2857142857142794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2.50714285714285</v>
      </c>
      <c r="Q618" s="8">
        <v>0</v>
      </c>
      <c r="R618" s="8">
        <v>0</v>
      </c>
      <c r="S618" s="17">
        <v>0</v>
      </c>
      <c r="T618" s="8">
        <v>7.1428571428571397</v>
      </c>
      <c r="U618" s="8">
        <v>0</v>
      </c>
      <c r="V618" s="8">
        <v>0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  <c r="AD618" s="14">
        <f t="shared" si="42"/>
        <v>99.999999999999972</v>
      </c>
      <c r="AE618" s="8">
        <f>1.8*100/14</f>
        <v>12.857142857142858</v>
      </c>
      <c r="AF618" s="8">
        <v>0</v>
      </c>
      <c r="AG618" s="8">
        <v>0</v>
      </c>
      <c r="AH618" s="8">
        <v>0</v>
      </c>
      <c r="AJ618" s="7"/>
      <c r="AK618" s="62"/>
      <c r="AL618" s="158"/>
      <c r="AM618" s="85"/>
      <c r="AN618" s="85"/>
      <c r="AO618" s="85"/>
      <c r="AP618" s="85"/>
      <c r="AQ618" s="85"/>
      <c r="AR618" s="85"/>
      <c r="AS618" s="85"/>
      <c r="AT618" s="205"/>
      <c r="AU618" s="85"/>
      <c r="AV618" s="196"/>
      <c r="AW618" s="85"/>
      <c r="AX618" s="85"/>
      <c r="AY618" s="39"/>
      <c r="AZ618" s="7">
        <v>287</v>
      </c>
      <c r="BA618" s="62"/>
      <c r="BB618" s="7" t="s">
        <v>523</v>
      </c>
      <c r="BC618" s="7" t="s">
        <v>687</v>
      </c>
      <c r="BD618" s="7" t="s">
        <v>934</v>
      </c>
      <c r="BE618" s="7" t="s">
        <v>939</v>
      </c>
      <c r="BF618" s="39"/>
      <c r="BG618" s="7"/>
      <c r="BH618" s="62"/>
      <c r="BI618" s="7"/>
      <c r="BJ618" s="32"/>
      <c r="BK618" s="226"/>
    </row>
    <row r="619" spans="1:63" ht="23.25" customHeight="1" x14ac:dyDescent="0.2">
      <c r="A619" s="7">
        <v>618</v>
      </c>
      <c r="B619" s="221"/>
      <c r="C619" s="221"/>
      <c r="D619" s="54" t="s">
        <v>82</v>
      </c>
      <c r="E619" s="54"/>
      <c r="F619" s="16">
        <v>79.428571428571431</v>
      </c>
      <c r="G619" s="8">
        <v>0</v>
      </c>
      <c r="H619" s="8">
        <v>8.3571428571428577</v>
      </c>
      <c r="I619" s="8">
        <v>0</v>
      </c>
      <c r="J619" s="8">
        <v>5.0714285714285721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17">
        <v>0</v>
      </c>
      <c r="T619" s="8">
        <v>7.1428571428571441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  <c r="AD619" s="14">
        <f t="shared" si="42"/>
        <v>100</v>
      </c>
      <c r="AE619" s="8">
        <v>0</v>
      </c>
      <c r="AF619" s="8">
        <v>0</v>
      </c>
      <c r="AG619" s="8">
        <v>0</v>
      </c>
      <c r="AH619" s="8">
        <v>0</v>
      </c>
      <c r="AJ619" s="7"/>
      <c r="AK619" s="62"/>
      <c r="AL619" s="158"/>
      <c r="AM619" s="85"/>
      <c r="AN619" s="85"/>
      <c r="AO619" s="85"/>
      <c r="AP619" s="85"/>
      <c r="AQ619" s="85"/>
      <c r="AR619" s="85"/>
      <c r="AS619" s="85"/>
      <c r="AT619" s="205"/>
      <c r="AU619" s="85"/>
      <c r="AV619" s="196"/>
      <c r="AW619" s="85"/>
      <c r="AX619" s="85"/>
      <c r="AY619" s="39"/>
      <c r="AZ619" s="7">
        <v>279</v>
      </c>
      <c r="BA619" s="62"/>
      <c r="BB619" s="7" t="s">
        <v>523</v>
      </c>
      <c r="BC619" s="7" t="s">
        <v>682</v>
      </c>
      <c r="BD619" s="7"/>
      <c r="BE619" s="7"/>
      <c r="BF619" s="39"/>
      <c r="BG619" s="7"/>
      <c r="BH619" s="62"/>
      <c r="BI619" s="7"/>
      <c r="BJ619" s="32"/>
      <c r="BK619" s="59"/>
    </row>
    <row r="620" spans="1:63" ht="23.25" customHeight="1" x14ac:dyDescent="0.2">
      <c r="A620" s="62">
        <v>619</v>
      </c>
      <c r="B620" s="221"/>
      <c r="C620" s="221"/>
      <c r="D620" s="54" t="s">
        <v>75</v>
      </c>
      <c r="E620" s="54"/>
      <c r="F620" s="16">
        <v>81.899999999999991</v>
      </c>
      <c r="G620" s="8">
        <v>0</v>
      </c>
      <c r="H620" s="8">
        <v>9.2857142857142865</v>
      </c>
      <c r="I620" s="8">
        <v>0</v>
      </c>
      <c r="J620" s="8">
        <v>1.6714285714285713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17">
        <v>0</v>
      </c>
      <c r="T620" s="8">
        <v>7.1428571428571423</v>
      </c>
      <c r="U620" s="8">
        <v>0</v>
      </c>
      <c r="V620" s="8">
        <v>0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  <c r="AD620" s="14">
        <f t="shared" si="42"/>
        <v>100</v>
      </c>
      <c r="AE620" s="8">
        <v>0</v>
      </c>
      <c r="AF620" s="8">
        <v>0</v>
      </c>
      <c r="AG620" s="8">
        <v>0</v>
      </c>
      <c r="AH620" s="8">
        <v>0</v>
      </c>
      <c r="AJ620" s="7"/>
      <c r="AK620" s="62"/>
      <c r="AL620" s="158"/>
      <c r="AM620" s="85"/>
      <c r="AN620" s="85"/>
      <c r="AO620" s="85"/>
      <c r="AP620" s="85"/>
      <c r="AQ620" s="85"/>
      <c r="AR620" s="85"/>
      <c r="AS620" s="85"/>
      <c r="AT620" s="205"/>
      <c r="AU620" s="85"/>
      <c r="AV620" s="196"/>
      <c r="AW620" s="85"/>
      <c r="AX620" s="85"/>
      <c r="AY620" s="39"/>
      <c r="AZ620" s="7">
        <v>198</v>
      </c>
      <c r="BA620" s="62"/>
      <c r="BB620" s="7" t="s">
        <v>523</v>
      </c>
      <c r="BC620" s="7" t="s">
        <v>683</v>
      </c>
      <c r="BD620" s="7"/>
      <c r="BE620" s="7"/>
      <c r="BF620" s="39"/>
      <c r="BG620" s="7"/>
      <c r="BH620" s="62"/>
      <c r="BI620" s="7"/>
      <c r="BJ620" s="32"/>
      <c r="BK620" s="59"/>
    </row>
    <row r="621" spans="1:63" ht="23.25" customHeight="1" x14ac:dyDescent="0.2">
      <c r="A621" s="7">
        <v>620</v>
      </c>
      <c r="B621" s="221"/>
      <c r="C621" s="221"/>
      <c r="D621" s="54" t="s">
        <v>77</v>
      </c>
      <c r="E621" s="54"/>
      <c r="F621" s="16">
        <v>80</v>
      </c>
      <c r="G621" s="8">
        <v>7.8571428571428585</v>
      </c>
      <c r="H621" s="8">
        <v>0</v>
      </c>
      <c r="I621" s="8">
        <v>0</v>
      </c>
      <c r="J621" s="8">
        <v>5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17">
        <v>0</v>
      </c>
      <c r="T621" s="8">
        <v>7.1428571428571441</v>
      </c>
      <c r="U621" s="8">
        <v>0</v>
      </c>
      <c r="V621" s="8">
        <v>0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14">
        <f t="shared" si="42"/>
        <v>100</v>
      </c>
      <c r="AE621" s="8">
        <v>0</v>
      </c>
      <c r="AF621" s="8">
        <v>0</v>
      </c>
      <c r="AG621" s="8">
        <v>0</v>
      </c>
      <c r="AH621" s="8">
        <v>0</v>
      </c>
      <c r="AJ621" s="7"/>
      <c r="AK621" s="62"/>
      <c r="AL621" s="158"/>
      <c r="AM621" s="85"/>
      <c r="AN621" s="85"/>
      <c r="AO621" s="85"/>
      <c r="AP621" s="85"/>
      <c r="AQ621" s="85"/>
      <c r="AR621" s="85"/>
      <c r="AS621" s="85"/>
      <c r="AT621" s="205"/>
      <c r="AU621" s="85"/>
      <c r="AV621" s="196"/>
      <c r="AW621" s="85"/>
      <c r="AX621" s="85"/>
      <c r="AY621" s="39"/>
      <c r="AZ621" s="7">
        <v>274</v>
      </c>
      <c r="BA621" s="62"/>
      <c r="BB621" s="7">
        <v>5</v>
      </c>
      <c r="BC621" s="7">
        <v>20.3</v>
      </c>
      <c r="BD621" s="7"/>
      <c r="BE621" s="7"/>
      <c r="BF621" s="39"/>
      <c r="BG621" s="7"/>
      <c r="BH621" s="62"/>
      <c r="BI621" s="7"/>
      <c r="BJ621" s="32"/>
      <c r="BK621" s="59"/>
    </row>
    <row r="622" spans="1:63" ht="23.25" customHeight="1" x14ac:dyDescent="0.2">
      <c r="A622" s="62">
        <v>621</v>
      </c>
      <c r="B622" s="221"/>
      <c r="C622" s="221"/>
      <c r="D622" s="54" t="s">
        <v>78</v>
      </c>
      <c r="E622" s="54"/>
      <c r="F622" s="16">
        <v>76.428571428571416</v>
      </c>
      <c r="G622" s="8">
        <v>10.714285714285714</v>
      </c>
      <c r="H622" s="8">
        <v>0</v>
      </c>
      <c r="I622" s="8">
        <v>0</v>
      </c>
      <c r="J622" s="8">
        <v>5.7142857142857144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17">
        <v>0</v>
      </c>
      <c r="T622" s="8">
        <v>7.1428571428571423</v>
      </c>
      <c r="U622" s="8">
        <v>0</v>
      </c>
      <c r="V622" s="8">
        <v>0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14">
        <f t="shared" si="42"/>
        <v>99.999999999999972</v>
      </c>
      <c r="AE622" s="8">
        <v>0</v>
      </c>
      <c r="AF622" s="8">
        <v>0</v>
      </c>
      <c r="AG622" s="8">
        <v>0</v>
      </c>
      <c r="AH622" s="8">
        <v>0</v>
      </c>
      <c r="AJ622" s="7"/>
      <c r="AK622" s="62"/>
      <c r="AL622" s="158"/>
      <c r="AM622" s="85"/>
      <c r="AN622" s="85"/>
      <c r="AO622" s="85"/>
      <c r="AP622" s="85"/>
      <c r="AQ622" s="85"/>
      <c r="AR622" s="85"/>
      <c r="AS622" s="85"/>
      <c r="AT622" s="205"/>
      <c r="AU622" s="85"/>
      <c r="AV622" s="196"/>
      <c r="AW622" s="85"/>
      <c r="AX622" s="85"/>
      <c r="AY622" s="39"/>
      <c r="AZ622" s="7">
        <v>285</v>
      </c>
      <c r="BA622" s="62"/>
      <c r="BB622" s="7" t="s">
        <v>523</v>
      </c>
      <c r="BC622" s="7" t="s">
        <v>940</v>
      </c>
      <c r="BD622" s="7"/>
      <c r="BE622" s="7"/>
      <c r="BF622" s="39"/>
      <c r="BG622" s="7"/>
      <c r="BH622" s="62"/>
      <c r="BI622" s="7"/>
      <c r="BJ622" s="32"/>
      <c r="BK622" s="59"/>
    </row>
    <row r="623" spans="1:63" ht="23.25" customHeight="1" x14ac:dyDescent="0.2">
      <c r="A623" s="7">
        <v>622</v>
      </c>
      <c r="B623" s="221"/>
      <c r="C623" s="221"/>
      <c r="D623" s="54" t="s">
        <v>81</v>
      </c>
      <c r="E623" s="54"/>
      <c r="F623" s="16">
        <v>78.428571428571431</v>
      </c>
      <c r="G623" s="8">
        <v>12.857142857142856</v>
      </c>
      <c r="H623" s="8">
        <v>0</v>
      </c>
      <c r="I623" s="8">
        <v>0</v>
      </c>
      <c r="J623" s="8">
        <v>1.5714285714285712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17">
        <v>0</v>
      </c>
      <c r="T623" s="8">
        <v>7.1428571428571423</v>
      </c>
      <c r="U623" s="8">
        <v>0</v>
      </c>
      <c r="V623" s="8">
        <v>0</v>
      </c>
      <c r="W623" s="8">
        <v>0</v>
      </c>
      <c r="X623" s="8">
        <v>0</v>
      </c>
      <c r="Y623" s="8">
        <v>0</v>
      </c>
      <c r="Z623" s="8">
        <v>0</v>
      </c>
      <c r="AA623" s="8">
        <v>0</v>
      </c>
      <c r="AB623" s="8">
        <v>0</v>
      </c>
      <c r="AC623" s="8">
        <v>0</v>
      </c>
      <c r="AD623" s="14">
        <f t="shared" si="42"/>
        <v>100</v>
      </c>
      <c r="AE623" s="8">
        <v>0</v>
      </c>
      <c r="AF623" s="8">
        <v>0</v>
      </c>
      <c r="AG623" s="8">
        <v>0</v>
      </c>
      <c r="AH623" s="8">
        <v>0</v>
      </c>
      <c r="AJ623" s="7"/>
      <c r="AK623" s="62"/>
      <c r="AL623" s="158"/>
      <c r="AM623" s="85"/>
      <c r="AN623" s="85"/>
      <c r="AO623" s="85"/>
      <c r="AP623" s="85"/>
      <c r="AQ623" s="85"/>
      <c r="AR623" s="85"/>
      <c r="AS623" s="85"/>
      <c r="AT623" s="205"/>
      <c r="AU623" s="85"/>
      <c r="AV623" s="196"/>
      <c r="AW623" s="85"/>
      <c r="AX623" s="85"/>
      <c r="AY623" s="39"/>
      <c r="AZ623" s="7">
        <v>242</v>
      </c>
      <c r="BA623" s="62"/>
      <c r="BB623" s="7" t="s">
        <v>523</v>
      </c>
      <c r="BC623" s="7" t="s">
        <v>681</v>
      </c>
      <c r="BD623" s="7"/>
      <c r="BE623" s="7"/>
      <c r="BF623" s="39"/>
      <c r="BG623" s="7"/>
      <c r="BH623" s="62"/>
      <c r="BI623" s="7"/>
      <c r="BJ623" s="32"/>
      <c r="BK623" s="59"/>
    </row>
    <row r="624" spans="1:63" s="6" customFormat="1" ht="23.25" customHeight="1" thickBot="1" x14ac:dyDescent="0.25">
      <c r="A624" s="62">
        <v>623</v>
      </c>
      <c r="B624" s="222"/>
      <c r="C624" s="222"/>
      <c r="D624" s="13" t="s">
        <v>172</v>
      </c>
      <c r="E624" s="13"/>
      <c r="F624" s="80">
        <v>75</v>
      </c>
      <c r="G624" s="81">
        <v>10.714285714285714</v>
      </c>
      <c r="H624" s="81">
        <v>0</v>
      </c>
      <c r="I624" s="81">
        <v>0</v>
      </c>
      <c r="J624" s="81">
        <v>7.1428571428571423</v>
      </c>
      <c r="K624" s="81">
        <v>0</v>
      </c>
      <c r="L624" s="81">
        <v>0</v>
      </c>
      <c r="M624" s="81">
        <v>0</v>
      </c>
      <c r="N624" s="81">
        <v>0</v>
      </c>
      <c r="O624" s="81">
        <v>0</v>
      </c>
      <c r="P624" s="81">
        <v>0</v>
      </c>
      <c r="Q624" s="81">
        <v>0</v>
      </c>
      <c r="R624" s="81">
        <v>0</v>
      </c>
      <c r="S624" s="82">
        <v>0</v>
      </c>
      <c r="T624" s="81">
        <v>3.5714285714285712</v>
      </c>
      <c r="U624" s="81">
        <v>0</v>
      </c>
      <c r="V624" s="81">
        <v>0</v>
      </c>
      <c r="W624" s="81">
        <v>3.5714285714285712</v>
      </c>
      <c r="X624" s="81">
        <v>0</v>
      </c>
      <c r="Y624" s="81">
        <v>0</v>
      </c>
      <c r="Z624" s="81">
        <v>0</v>
      </c>
      <c r="AA624" s="81">
        <v>0</v>
      </c>
      <c r="AB624" s="81">
        <v>0</v>
      </c>
      <c r="AC624" s="81">
        <v>0</v>
      </c>
      <c r="AD624" s="83">
        <f t="shared" si="42"/>
        <v>99.999999999999986</v>
      </c>
      <c r="AE624" s="81">
        <v>0</v>
      </c>
      <c r="AF624" s="81">
        <v>0</v>
      </c>
      <c r="AG624" s="81">
        <v>0</v>
      </c>
      <c r="AH624" s="81">
        <v>0</v>
      </c>
      <c r="AI624" s="79"/>
      <c r="AJ624" s="65"/>
      <c r="AK624" s="78"/>
      <c r="AL624" s="200"/>
      <c r="AM624" s="190"/>
      <c r="AN624" s="190"/>
      <c r="AO624" s="190"/>
      <c r="AP624" s="190"/>
      <c r="AQ624" s="190"/>
      <c r="AR624" s="190"/>
      <c r="AS624" s="190"/>
      <c r="AT624" s="201"/>
      <c r="AU624" s="190"/>
      <c r="AV624" s="202"/>
      <c r="AW624" s="190"/>
      <c r="AX624" s="190"/>
      <c r="AY624" s="79"/>
      <c r="AZ624" s="65">
        <v>295</v>
      </c>
      <c r="BA624" s="78"/>
      <c r="BB624" s="65" t="s">
        <v>524</v>
      </c>
      <c r="BC624" s="65" t="s">
        <v>694</v>
      </c>
      <c r="BD624" s="65"/>
      <c r="BE624" s="65"/>
      <c r="BF624" s="79"/>
      <c r="BG624" s="65"/>
      <c r="BH624" s="78"/>
      <c r="BI624" s="65"/>
      <c r="BJ624" s="68"/>
      <c r="BK624" s="42"/>
    </row>
    <row r="625" spans="1:63" ht="23.25" customHeight="1" thickBot="1" x14ac:dyDescent="0.25">
      <c r="A625" s="7">
        <v>624</v>
      </c>
      <c r="B625" s="238">
        <v>102</v>
      </c>
      <c r="C625" s="238" t="s">
        <v>1824</v>
      </c>
      <c r="D625" s="246" t="s">
        <v>1938</v>
      </c>
      <c r="E625" s="54" t="s">
        <v>1662</v>
      </c>
      <c r="F625" s="16">
        <v>82.142857142857139</v>
      </c>
      <c r="G625" s="8">
        <v>10.714285714285714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>
        <v>0</v>
      </c>
      <c r="S625" s="17">
        <v>0</v>
      </c>
      <c r="T625" s="8">
        <v>6.4285714285714297</v>
      </c>
      <c r="U625" s="8">
        <v>0</v>
      </c>
      <c r="V625" s="8">
        <v>0</v>
      </c>
      <c r="W625" s="8">
        <v>0.7142857142857143</v>
      </c>
      <c r="X625" s="8">
        <v>0</v>
      </c>
      <c r="Y625" s="8">
        <v>0</v>
      </c>
      <c r="Z625" s="8">
        <v>0</v>
      </c>
      <c r="AA625" s="8">
        <v>0</v>
      </c>
      <c r="AB625" s="8">
        <v>0</v>
      </c>
      <c r="AC625" s="8">
        <v>0</v>
      </c>
      <c r="AD625" s="14">
        <f t="shared" si="42"/>
        <v>99.999999999999986</v>
      </c>
      <c r="AE625" s="8">
        <v>0</v>
      </c>
      <c r="AF625" s="8">
        <v>0</v>
      </c>
      <c r="AG625" s="8">
        <v>0</v>
      </c>
      <c r="AH625" s="8">
        <v>0</v>
      </c>
      <c r="AI625" s="39" t="s">
        <v>1531</v>
      </c>
      <c r="AJ625" s="7">
        <v>960</v>
      </c>
      <c r="AK625" s="62">
        <v>1373</v>
      </c>
      <c r="AL625" s="158"/>
      <c r="AM625" s="85"/>
      <c r="AN625" s="85"/>
      <c r="AO625" s="85"/>
      <c r="AP625" s="85"/>
      <c r="AQ625" s="85"/>
      <c r="AR625" s="85"/>
      <c r="AS625" s="85"/>
      <c r="AT625" s="205"/>
      <c r="AU625" s="85"/>
      <c r="AV625" s="196"/>
      <c r="AW625" s="85"/>
      <c r="AX625" s="85"/>
      <c r="AY625" s="158"/>
      <c r="AZ625" s="85">
        <v>191</v>
      </c>
      <c r="BA625" s="205"/>
      <c r="BB625" s="85" t="s">
        <v>524</v>
      </c>
      <c r="BC625" s="85" t="s">
        <v>971</v>
      </c>
      <c r="BD625" s="7"/>
      <c r="BE625" s="7"/>
      <c r="BF625" s="39"/>
      <c r="BG625" s="7"/>
      <c r="BH625" s="62"/>
      <c r="BI625" s="7"/>
      <c r="BJ625" s="32"/>
      <c r="BK625" s="256" t="s">
        <v>1950</v>
      </c>
    </row>
    <row r="626" spans="1:63" ht="23.25" customHeight="1" thickBot="1" x14ac:dyDescent="0.25">
      <c r="A626" s="62">
        <v>625</v>
      </c>
      <c r="B626" s="221"/>
      <c r="C626" s="221"/>
      <c r="D626" s="247"/>
      <c r="E626" s="54" t="s">
        <v>1663</v>
      </c>
      <c r="F626" s="16">
        <v>82.142857142857139</v>
      </c>
      <c r="G626" s="8">
        <v>10.714285714285714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17">
        <v>0</v>
      </c>
      <c r="T626" s="8">
        <v>5.7142857142857144</v>
      </c>
      <c r="U626" s="8">
        <v>0</v>
      </c>
      <c r="V626" s="8">
        <v>0</v>
      </c>
      <c r="W626" s="8">
        <v>1.4285714285714286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14">
        <f t="shared" si="42"/>
        <v>99.999999999999986</v>
      </c>
      <c r="AE626" s="8">
        <v>0</v>
      </c>
      <c r="AF626" s="8">
        <v>0</v>
      </c>
      <c r="AG626" s="8">
        <v>0</v>
      </c>
      <c r="AH626" s="8">
        <v>0</v>
      </c>
      <c r="AI626" s="39" t="s">
        <v>1531</v>
      </c>
      <c r="AJ626" s="7">
        <v>960</v>
      </c>
      <c r="AK626" s="62">
        <v>1373</v>
      </c>
      <c r="AL626" s="158"/>
      <c r="AM626" s="85"/>
      <c r="AN626" s="85"/>
      <c r="AO626" s="85"/>
      <c r="AP626" s="85"/>
      <c r="AQ626" s="85"/>
      <c r="AR626" s="85"/>
      <c r="AS626" s="85"/>
      <c r="AT626" s="205"/>
      <c r="AU626" s="85"/>
      <c r="AV626" s="196"/>
      <c r="AW626" s="85"/>
      <c r="AX626" s="85"/>
      <c r="AY626" s="158"/>
      <c r="AZ626" s="85">
        <v>188</v>
      </c>
      <c r="BA626" s="205"/>
      <c r="BB626" s="85" t="s">
        <v>524</v>
      </c>
      <c r="BC626" s="85" t="s">
        <v>972</v>
      </c>
      <c r="BD626" s="7"/>
      <c r="BE626" s="7"/>
      <c r="BF626" s="39"/>
      <c r="BG626" s="7"/>
      <c r="BH626" s="62"/>
      <c r="BI626" s="7"/>
      <c r="BJ626" s="32"/>
      <c r="BK626" s="256"/>
    </row>
    <row r="627" spans="1:63" ht="23.25" customHeight="1" thickBot="1" x14ac:dyDescent="0.25">
      <c r="A627" s="7">
        <v>626</v>
      </c>
      <c r="B627" s="221"/>
      <c r="C627" s="221"/>
      <c r="D627" s="247"/>
      <c r="E627" s="54" t="s">
        <v>1664</v>
      </c>
      <c r="F627" s="16">
        <v>82.142857142857139</v>
      </c>
      <c r="G627" s="8">
        <v>10.714285714285714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17">
        <v>0</v>
      </c>
      <c r="T627" s="8">
        <v>5</v>
      </c>
      <c r="U627" s="8">
        <v>0</v>
      </c>
      <c r="V627" s="8">
        <v>0</v>
      </c>
      <c r="W627" s="8">
        <v>2.1428571428571428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14">
        <f t="shared" si="42"/>
        <v>99.999999999999986</v>
      </c>
      <c r="AE627" s="8">
        <v>0</v>
      </c>
      <c r="AF627" s="8">
        <v>0</v>
      </c>
      <c r="AG627" s="8">
        <v>0</v>
      </c>
      <c r="AH627" s="8">
        <v>0</v>
      </c>
      <c r="AI627" s="39" t="s">
        <v>1531</v>
      </c>
      <c r="AJ627" s="7">
        <v>960</v>
      </c>
      <c r="AK627" s="62">
        <v>1373</v>
      </c>
      <c r="AL627" s="158"/>
      <c r="AM627" s="85"/>
      <c r="AN627" s="85"/>
      <c r="AO627" s="85"/>
      <c r="AP627" s="85"/>
      <c r="AQ627" s="85"/>
      <c r="AR627" s="85"/>
      <c r="AS627" s="85"/>
      <c r="AT627" s="205"/>
      <c r="AU627" s="85"/>
      <c r="AV627" s="196"/>
      <c r="AW627" s="85"/>
      <c r="AX627" s="85"/>
      <c r="AY627" s="158"/>
      <c r="AZ627" s="85">
        <v>185</v>
      </c>
      <c r="BA627" s="205"/>
      <c r="BB627" s="85" t="s">
        <v>523</v>
      </c>
      <c r="BC627" s="85" t="s">
        <v>973</v>
      </c>
      <c r="BD627" s="7" t="s">
        <v>970</v>
      </c>
      <c r="BE627" s="7" t="s">
        <v>969</v>
      </c>
      <c r="BF627" s="39"/>
      <c r="BG627" s="7"/>
      <c r="BH627" s="62"/>
      <c r="BI627" s="7"/>
      <c r="BJ627" s="32"/>
      <c r="BK627" s="256"/>
    </row>
    <row r="628" spans="1:63" ht="23.25" customHeight="1" thickBot="1" x14ac:dyDescent="0.25">
      <c r="A628" s="62">
        <v>627</v>
      </c>
      <c r="B628" s="221"/>
      <c r="C628" s="221"/>
      <c r="D628" s="247"/>
      <c r="E628" s="54" t="s">
        <v>1150</v>
      </c>
      <c r="F628" s="16">
        <v>82.142857142857139</v>
      </c>
      <c r="G628" s="8">
        <v>10.714285714285714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17">
        <v>0</v>
      </c>
      <c r="T628" s="8">
        <v>4.2857142857142856</v>
      </c>
      <c r="U628" s="8">
        <v>0</v>
      </c>
      <c r="V628" s="8">
        <v>0</v>
      </c>
      <c r="W628" s="8">
        <v>2.8571428571428572</v>
      </c>
      <c r="X628" s="8">
        <v>0</v>
      </c>
      <c r="Y628" s="8">
        <v>0</v>
      </c>
      <c r="Z628" s="8">
        <v>0</v>
      </c>
      <c r="AA628" s="8">
        <v>0</v>
      </c>
      <c r="AB628" s="8">
        <v>0</v>
      </c>
      <c r="AC628" s="8">
        <v>0</v>
      </c>
      <c r="AD628" s="14">
        <f t="shared" si="42"/>
        <v>100</v>
      </c>
      <c r="AE628" s="8">
        <v>0</v>
      </c>
      <c r="AF628" s="8">
        <v>0</v>
      </c>
      <c r="AG628" s="8">
        <v>0</v>
      </c>
      <c r="AH628" s="8">
        <v>0</v>
      </c>
      <c r="AI628" s="39" t="s">
        <v>1531</v>
      </c>
      <c r="AJ628" s="7">
        <v>960</v>
      </c>
      <c r="AK628" s="62">
        <v>1373</v>
      </c>
      <c r="AL628" s="158"/>
      <c r="AM628" s="85"/>
      <c r="AN628" s="85"/>
      <c r="AO628" s="85"/>
      <c r="AP628" s="85"/>
      <c r="AQ628" s="85"/>
      <c r="AR628" s="85"/>
      <c r="AS628" s="85"/>
      <c r="AT628" s="205"/>
      <c r="AU628" s="85"/>
      <c r="AV628" s="196"/>
      <c r="AW628" s="85"/>
      <c r="AX628" s="85"/>
      <c r="AY628" s="158">
        <v>0.05</v>
      </c>
      <c r="AZ628" s="85">
        <v>182</v>
      </c>
      <c r="BA628" s="205">
        <v>4.3</v>
      </c>
      <c r="BB628" s="85" t="s">
        <v>523</v>
      </c>
      <c r="BC628" s="85" t="s">
        <v>974</v>
      </c>
      <c r="BD628" s="7"/>
      <c r="BE628" s="7"/>
      <c r="BF628" s="39"/>
      <c r="BG628" s="7"/>
      <c r="BH628" s="62"/>
      <c r="BI628" s="7"/>
      <c r="BJ628" s="32"/>
      <c r="BK628" s="256"/>
    </row>
    <row r="629" spans="1:63" ht="23.25" customHeight="1" thickBot="1" x14ac:dyDescent="0.25">
      <c r="A629" s="7">
        <v>628</v>
      </c>
      <c r="B629" s="221"/>
      <c r="C629" s="221"/>
      <c r="D629" s="247"/>
      <c r="E629" s="54" t="s">
        <v>1676</v>
      </c>
      <c r="F629" s="16">
        <v>82.142857142857139</v>
      </c>
      <c r="G629" s="8">
        <v>10.714285714285714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17">
        <v>0</v>
      </c>
      <c r="T629" s="8">
        <v>3.5714285714285712</v>
      </c>
      <c r="U629" s="8">
        <v>0</v>
      </c>
      <c r="V629" s="8">
        <v>0</v>
      </c>
      <c r="W629" s="8">
        <v>3.5714285714285712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14">
        <f t="shared" si="42"/>
        <v>99.999999999999986</v>
      </c>
      <c r="AE629" s="8">
        <v>0</v>
      </c>
      <c r="AF629" s="8">
        <v>0</v>
      </c>
      <c r="AG629" s="8">
        <v>0</v>
      </c>
      <c r="AH629" s="8">
        <v>0</v>
      </c>
      <c r="AI629" s="39" t="s">
        <v>1531</v>
      </c>
      <c r="AJ629" s="7">
        <v>960</v>
      </c>
      <c r="AK629" s="62">
        <v>1373</v>
      </c>
      <c r="AL629" s="158"/>
      <c r="AM629" s="85"/>
      <c r="AN629" s="85"/>
      <c r="AO629" s="85"/>
      <c r="AP629" s="85"/>
      <c r="AQ629" s="85"/>
      <c r="AR629" s="85"/>
      <c r="AS629" s="85"/>
      <c r="AT629" s="205"/>
      <c r="AU629" s="85"/>
      <c r="AV629" s="196"/>
      <c r="AW629" s="85"/>
      <c r="AX629" s="85"/>
      <c r="AY629" s="158">
        <v>0.01</v>
      </c>
      <c r="AZ629" s="85">
        <v>181</v>
      </c>
      <c r="BA629" s="205">
        <v>5</v>
      </c>
      <c r="BB629" s="85" t="s">
        <v>523</v>
      </c>
      <c r="BC629" s="85" t="s">
        <v>975</v>
      </c>
      <c r="BD629" s="7"/>
      <c r="BE629" s="7"/>
      <c r="BF629" s="39"/>
      <c r="BG629" s="7"/>
      <c r="BH629" s="62"/>
      <c r="BI629" s="7"/>
      <c r="BJ629" s="32"/>
      <c r="BK629" s="256"/>
    </row>
    <row r="630" spans="1:63" ht="23.25" customHeight="1" thickBot="1" x14ac:dyDescent="0.25">
      <c r="A630" s="62">
        <v>629</v>
      </c>
      <c r="B630" s="221"/>
      <c r="C630" s="221"/>
      <c r="D630" s="247" t="s">
        <v>1939</v>
      </c>
      <c r="E630" s="54" t="s">
        <v>1662</v>
      </c>
      <c r="F630" s="16">
        <v>82.142857142857139</v>
      </c>
      <c r="G630" s="8">
        <v>10.714285714285714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17">
        <v>0</v>
      </c>
      <c r="T630" s="8">
        <v>6.4285714285714297</v>
      </c>
      <c r="U630" s="8">
        <v>0.7142857142857143</v>
      </c>
      <c r="V630" s="8">
        <v>0</v>
      </c>
      <c r="W630" s="8">
        <v>0</v>
      </c>
      <c r="X630" s="8">
        <v>0</v>
      </c>
      <c r="Y630" s="8">
        <v>0</v>
      </c>
      <c r="Z630" s="8">
        <v>0</v>
      </c>
      <c r="AA630" s="8">
        <v>0</v>
      </c>
      <c r="AB630" s="8">
        <v>0</v>
      </c>
      <c r="AC630" s="8">
        <v>0</v>
      </c>
      <c r="AD630" s="14">
        <f t="shared" si="42"/>
        <v>99.999999999999986</v>
      </c>
      <c r="AE630" s="8">
        <v>0</v>
      </c>
      <c r="AF630" s="8">
        <v>0</v>
      </c>
      <c r="AG630" s="8">
        <v>0</v>
      </c>
      <c r="AH630" s="8">
        <v>0</v>
      </c>
      <c r="AI630" s="39" t="s">
        <v>1531</v>
      </c>
      <c r="AJ630" s="7">
        <v>960</v>
      </c>
      <c r="AK630" s="62">
        <v>1373</v>
      </c>
      <c r="AL630" s="158"/>
      <c r="AM630" s="85"/>
      <c r="AN630" s="85"/>
      <c r="AO630" s="85"/>
      <c r="AP630" s="85"/>
      <c r="AQ630" s="85"/>
      <c r="AR630" s="85"/>
      <c r="AS630" s="85"/>
      <c r="AT630" s="205"/>
      <c r="AU630" s="85"/>
      <c r="AV630" s="196"/>
      <c r="AW630" s="85"/>
      <c r="AX630" s="85"/>
      <c r="AY630" s="158"/>
      <c r="AZ630" s="85">
        <v>192</v>
      </c>
      <c r="BA630" s="205"/>
      <c r="BB630" s="85" t="s">
        <v>523</v>
      </c>
      <c r="BC630" s="85" t="s">
        <v>976</v>
      </c>
      <c r="BD630" s="7"/>
      <c r="BE630" s="7"/>
      <c r="BF630" s="39"/>
      <c r="BG630" s="7"/>
      <c r="BH630" s="62"/>
      <c r="BI630" s="7"/>
      <c r="BJ630" s="32"/>
      <c r="BK630" s="256"/>
    </row>
    <row r="631" spans="1:63" ht="23.25" customHeight="1" thickBot="1" x14ac:dyDescent="0.25">
      <c r="A631" s="7">
        <v>630</v>
      </c>
      <c r="B631" s="221"/>
      <c r="C631" s="221"/>
      <c r="D631" s="247"/>
      <c r="E631" s="54" t="s">
        <v>1663</v>
      </c>
      <c r="F631" s="16">
        <v>82.142857142857139</v>
      </c>
      <c r="G631" s="8">
        <v>10.714285714285714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17">
        <v>0</v>
      </c>
      <c r="T631" s="8">
        <v>5.7142857142857144</v>
      </c>
      <c r="U631" s="8">
        <v>1.4285714285714286</v>
      </c>
      <c r="V631" s="8">
        <v>0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14">
        <f t="shared" si="42"/>
        <v>99.999999999999986</v>
      </c>
      <c r="AE631" s="8">
        <v>0</v>
      </c>
      <c r="AF631" s="8">
        <v>0</v>
      </c>
      <c r="AG631" s="8">
        <v>0</v>
      </c>
      <c r="AH631" s="8">
        <v>0</v>
      </c>
      <c r="AI631" s="39" t="s">
        <v>1531</v>
      </c>
      <c r="AJ631" s="7">
        <v>960</v>
      </c>
      <c r="AK631" s="62">
        <v>1373</v>
      </c>
      <c r="AL631" s="158"/>
      <c r="AM631" s="85"/>
      <c r="AN631" s="85"/>
      <c r="AO631" s="85"/>
      <c r="AP631" s="85"/>
      <c r="AQ631" s="85"/>
      <c r="AR631" s="85"/>
      <c r="AS631" s="85"/>
      <c r="AT631" s="205"/>
      <c r="AU631" s="85"/>
      <c r="AV631" s="196"/>
      <c r="AW631" s="85"/>
      <c r="AX631" s="85"/>
      <c r="AY631" s="158"/>
      <c r="AZ631" s="85">
        <v>190</v>
      </c>
      <c r="BA631" s="205"/>
      <c r="BB631" s="85" t="s">
        <v>523</v>
      </c>
      <c r="BC631" s="85" t="s">
        <v>977</v>
      </c>
      <c r="BD631" s="7"/>
      <c r="BE631" s="7"/>
      <c r="BF631" s="39"/>
      <c r="BG631" s="7"/>
      <c r="BH631" s="62"/>
      <c r="BI631" s="7"/>
      <c r="BJ631" s="32"/>
      <c r="BK631" s="256"/>
    </row>
    <row r="632" spans="1:63" ht="23.25" customHeight="1" thickBot="1" x14ac:dyDescent="0.25">
      <c r="A632" s="62">
        <v>631</v>
      </c>
      <c r="B632" s="221"/>
      <c r="C632" s="221"/>
      <c r="D632" s="247"/>
      <c r="E632" s="54" t="s">
        <v>1664</v>
      </c>
      <c r="F632" s="16">
        <v>82.142857142857139</v>
      </c>
      <c r="G632" s="8">
        <v>10.714285714285714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17">
        <v>0</v>
      </c>
      <c r="T632" s="8">
        <v>5</v>
      </c>
      <c r="U632" s="8">
        <v>2.1428571428571428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14">
        <f t="shared" si="42"/>
        <v>99.999999999999986</v>
      </c>
      <c r="AE632" s="8">
        <v>0</v>
      </c>
      <c r="AF632" s="8">
        <v>0</v>
      </c>
      <c r="AG632" s="8">
        <v>0</v>
      </c>
      <c r="AH632" s="8">
        <v>0</v>
      </c>
      <c r="AI632" s="39" t="s">
        <v>1531</v>
      </c>
      <c r="AJ632" s="7">
        <v>960</v>
      </c>
      <c r="AK632" s="62">
        <v>1373</v>
      </c>
      <c r="AL632" s="158"/>
      <c r="AM632" s="85"/>
      <c r="AN632" s="85"/>
      <c r="AO632" s="85"/>
      <c r="AP632" s="85"/>
      <c r="AQ632" s="85"/>
      <c r="AR632" s="85"/>
      <c r="AS632" s="85"/>
      <c r="AT632" s="205"/>
      <c r="AU632" s="85"/>
      <c r="AV632" s="196"/>
      <c r="AW632" s="85"/>
      <c r="AX632" s="85"/>
      <c r="AY632" s="158">
        <v>0.01</v>
      </c>
      <c r="AZ632" s="85">
        <v>188</v>
      </c>
      <c r="BA632" s="205">
        <v>3.2</v>
      </c>
      <c r="BB632" s="85" t="s">
        <v>524</v>
      </c>
      <c r="BC632" s="85" t="s">
        <v>978</v>
      </c>
      <c r="BD632" s="7"/>
      <c r="BE632" s="7"/>
      <c r="BF632" s="39"/>
      <c r="BG632" s="7"/>
      <c r="BH632" s="62"/>
      <c r="BI632" s="7"/>
      <c r="BJ632" s="32"/>
      <c r="BK632" s="256"/>
    </row>
    <row r="633" spans="1:63" ht="23.25" customHeight="1" thickBot="1" x14ac:dyDescent="0.25">
      <c r="A633" s="7">
        <v>632</v>
      </c>
      <c r="B633" s="221"/>
      <c r="C633" s="221"/>
      <c r="D633" s="247" t="s">
        <v>1940</v>
      </c>
      <c r="E633" s="54" t="s">
        <v>1662</v>
      </c>
      <c r="F633" s="16">
        <v>82.142857142857139</v>
      </c>
      <c r="G633" s="8">
        <v>10.714285714285714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17">
        <v>0</v>
      </c>
      <c r="T633" s="8">
        <v>6.4285714285714297</v>
      </c>
      <c r="U633" s="8">
        <v>0</v>
      </c>
      <c r="V633" s="8">
        <v>0.7142857142857143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  <c r="AB633" s="8">
        <v>0</v>
      </c>
      <c r="AC633" s="8">
        <v>0</v>
      </c>
      <c r="AD633" s="14">
        <f>SUM(F633:AC633)</f>
        <v>99.999999999999986</v>
      </c>
      <c r="AE633" s="8">
        <v>0</v>
      </c>
      <c r="AF633" s="8">
        <v>0</v>
      </c>
      <c r="AG633" s="8">
        <v>0</v>
      </c>
      <c r="AH633" s="8">
        <v>0</v>
      </c>
      <c r="AI633" s="39" t="s">
        <v>1531</v>
      </c>
      <c r="AJ633" s="7">
        <v>960</v>
      </c>
      <c r="AK633" s="62">
        <v>1373</v>
      </c>
      <c r="AL633" s="158"/>
      <c r="AM633" s="85"/>
      <c r="AN633" s="85"/>
      <c r="AO633" s="85"/>
      <c r="AP633" s="85"/>
      <c r="AQ633" s="85"/>
      <c r="AR633" s="85"/>
      <c r="AS633" s="85"/>
      <c r="AT633" s="205"/>
      <c r="AU633" s="85"/>
      <c r="AV633" s="196"/>
      <c r="AW633" s="85"/>
      <c r="AX633" s="85"/>
      <c r="AY633" s="158"/>
      <c r="AZ633" s="85">
        <v>188</v>
      </c>
      <c r="BA633" s="205"/>
      <c r="BB633" s="85"/>
      <c r="BC633" s="85"/>
      <c r="BD633" s="7"/>
      <c r="BE633" s="7"/>
      <c r="BF633" s="39"/>
      <c r="BG633" s="7"/>
      <c r="BH633" s="62"/>
      <c r="BI633" s="7"/>
      <c r="BJ633" s="32"/>
      <c r="BK633" s="256"/>
    </row>
    <row r="634" spans="1:63" ht="23.25" customHeight="1" thickBot="1" x14ac:dyDescent="0.25">
      <c r="A634" s="62">
        <v>633</v>
      </c>
      <c r="B634" s="221"/>
      <c r="C634" s="221"/>
      <c r="D634" s="247"/>
      <c r="E634" s="54" t="s">
        <v>1663</v>
      </c>
      <c r="F634" s="16">
        <v>82.142857142857139</v>
      </c>
      <c r="G634" s="8">
        <v>10.714285714285714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17">
        <v>0</v>
      </c>
      <c r="T634" s="8">
        <v>5.7142857142857144</v>
      </c>
      <c r="U634" s="8">
        <v>0</v>
      </c>
      <c r="V634" s="8">
        <v>1.4285714285714286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14">
        <f t="shared" ref="AD634" si="44">SUM(F634:AC634)</f>
        <v>99.999999999999986</v>
      </c>
      <c r="AE634" s="8">
        <v>0</v>
      </c>
      <c r="AF634" s="8">
        <v>0</v>
      </c>
      <c r="AG634" s="8">
        <v>0</v>
      </c>
      <c r="AH634" s="8">
        <v>0</v>
      </c>
      <c r="AI634" s="39" t="s">
        <v>1531</v>
      </c>
      <c r="AJ634" s="7">
        <v>960</v>
      </c>
      <c r="AK634" s="62">
        <v>1373</v>
      </c>
      <c r="AL634" s="158"/>
      <c r="AM634" s="85"/>
      <c r="AN634" s="85"/>
      <c r="AO634" s="85"/>
      <c r="AP634" s="85"/>
      <c r="AQ634" s="85"/>
      <c r="AR634" s="85"/>
      <c r="AS634" s="85"/>
      <c r="AT634" s="205"/>
      <c r="AU634" s="85"/>
      <c r="AV634" s="196"/>
      <c r="AW634" s="85"/>
      <c r="AX634" s="85"/>
      <c r="AY634" s="158"/>
      <c r="AZ634" s="85">
        <v>182</v>
      </c>
      <c r="BA634" s="205"/>
      <c r="BB634" s="85"/>
      <c r="BC634" s="85"/>
      <c r="BD634" s="7"/>
      <c r="BE634" s="7"/>
      <c r="BF634" s="39"/>
      <c r="BG634" s="7"/>
      <c r="BH634" s="62"/>
      <c r="BI634" s="7"/>
      <c r="BJ634" s="32"/>
      <c r="BK634" s="256"/>
    </row>
    <row r="635" spans="1:63" ht="23.25" customHeight="1" thickBot="1" x14ac:dyDescent="0.25">
      <c r="A635" s="7">
        <v>634</v>
      </c>
      <c r="B635" s="222"/>
      <c r="C635" s="222"/>
      <c r="D635" s="248"/>
      <c r="E635" s="54" t="s">
        <v>1664</v>
      </c>
      <c r="F635" s="16">
        <v>82.142857142857139</v>
      </c>
      <c r="G635" s="8">
        <v>10.714285714285714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17">
        <v>0</v>
      </c>
      <c r="T635" s="8">
        <v>5</v>
      </c>
      <c r="U635" s="8">
        <v>0</v>
      </c>
      <c r="V635" s="8">
        <v>2.1428571428571428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14">
        <f t="shared" si="42"/>
        <v>99.999999999999986</v>
      </c>
      <c r="AE635" s="8">
        <v>0</v>
      </c>
      <c r="AF635" s="8">
        <v>0</v>
      </c>
      <c r="AG635" s="8">
        <v>0</v>
      </c>
      <c r="AH635" s="8">
        <v>0</v>
      </c>
      <c r="AI635" s="39" t="s">
        <v>1531</v>
      </c>
      <c r="AJ635" s="7">
        <v>960</v>
      </c>
      <c r="AK635" s="62">
        <v>1373</v>
      </c>
      <c r="AL635" s="158"/>
      <c r="AM635" s="85"/>
      <c r="AN635" s="85"/>
      <c r="AO635" s="85"/>
      <c r="AP635" s="85"/>
      <c r="AQ635" s="85"/>
      <c r="AR635" s="85"/>
      <c r="AS635" s="85"/>
      <c r="AT635" s="205"/>
      <c r="AU635" s="85"/>
      <c r="AV635" s="196"/>
      <c r="AW635" s="85"/>
      <c r="AX635" s="85"/>
      <c r="AY635" s="158"/>
      <c r="AZ635" s="85">
        <v>173</v>
      </c>
      <c r="BA635" s="205"/>
      <c r="BB635" s="85">
        <v>5</v>
      </c>
      <c r="BC635" s="85">
        <v>23.8</v>
      </c>
      <c r="BD635" s="7"/>
      <c r="BE635" s="7"/>
      <c r="BF635" s="39"/>
      <c r="BG635" s="7"/>
      <c r="BH635" s="62"/>
      <c r="BI635" s="7"/>
      <c r="BJ635" s="32"/>
      <c r="BK635" s="256"/>
    </row>
    <row r="636" spans="1:63" s="4" customFormat="1" ht="23.25" customHeight="1" thickBot="1" x14ac:dyDescent="0.25">
      <c r="A636" s="62">
        <v>635</v>
      </c>
      <c r="B636" s="238" t="s">
        <v>514</v>
      </c>
      <c r="C636" s="238" t="s">
        <v>1852</v>
      </c>
      <c r="D636" s="12" t="s">
        <v>161</v>
      </c>
      <c r="E636" s="12"/>
      <c r="F636" s="87">
        <f>11.5/14*100</f>
        <v>82.142857142857139</v>
      </c>
      <c r="G636" s="88">
        <f>1.5/14*100</f>
        <v>10.714285714285714</v>
      </c>
      <c r="H636" s="88">
        <v>0</v>
      </c>
      <c r="I636" s="88">
        <v>0</v>
      </c>
      <c r="J636" s="88">
        <v>0</v>
      </c>
      <c r="K636" s="88">
        <v>0</v>
      </c>
      <c r="L636" s="88">
        <v>0</v>
      </c>
      <c r="M636" s="88">
        <v>0</v>
      </c>
      <c r="N636" s="88">
        <v>0</v>
      </c>
      <c r="O636" s="88">
        <v>0</v>
      </c>
      <c r="P636" s="88">
        <v>0</v>
      </c>
      <c r="Q636" s="88">
        <v>0</v>
      </c>
      <c r="R636" s="88">
        <v>0</v>
      </c>
      <c r="S636" s="89">
        <v>0</v>
      </c>
      <c r="T636" s="88">
        <f>1/14*100</f>
        <v>7.1428571428571423</v>
      </c>
      <c r="U636" s="88">
        <v>0</v>
      </c>
      <c r="V636" s="88">
        <v>0</v>
      </c>
      <c r="W636" s="88">
        <v>0</v>
      </c>
      <c r="X636" s="88">
        <v>0</v>
      </c>
      <c r="Y636" s="88">
        <v>0</v>
      </c>
      <c r="Z636" s="88">
        <v>0</v>
      </c>
      <c r="AA636" s="88">
        <v>0</v>
      </c>
      <c r="AB636" s="88">
        <v>0</v>
      </c>
      <c r="AC636" s="88">
        <v>0</v>
      </c>
      <c r="AD636" s="90">
        <f t="shared" si="42"/>
        <v>99.999999999999986</v>
      </c>
      <c r="AE636" s="88">
        <f>0.3/14*100</f>
        <v>2.1428571428571428</v>
      </c>
      <c r="AF636" s="88">
        <v>0</v>
      </c>
      <c r="AG636" s="88">
        <v>0</v>
      </c>
      <c r="AH636" s="88">
        <v>0</v>
      </c>
      <c r="AI636" s="156"/>
      <c r="AJ636" s="45"/>
      <c r="AK636" s="91"/>
      <c r="AL636" s="197"/>
      <c r="AM636" s="189"/>
      <c r="AN636" s="189"/>
      <c r="AO636" s="189"/>
      <c r="AP636" s="189"/>
      <c r="AQ636" s="189"/>
      <c r="AR636" s="189"/>
      <c r="AS636" s="189"/>
      <c r="AT636" s="198"/>
      <c r="AU636" s="189"/>
      <c r="AV636" s="199"/>
      <c r="AW636" s="189">
        <v>11.483000000000001</v>
      </c>
      <c r="AX636" s="189"/>
      <c r="AY636" s="156">
        <v>0.01</v>
      </c>
      <c r="AZ636" s="45">
        <v>224</v>
      </c>
      <c r="BA636" s="91"/>
      <c r="BB636" s="45">
        <v>5</v>
      </c>
      <c r="BC636" s="45">
        <v>17.399999999999999</v>
      </c>
      <c r="BD636" s="45">
        <v>231.5</v>
      </c>
      <c r="BE636" s="45">
        <v>26.3</v>
      </c>
      <c r="BF636" s="156"/>
      <c r="BG636" s="45"/>
      <c r="BH636" s="91"/>
      <c r="BI636" s="45"/>
      <c r="BJ636" s="67"/>
      <c r="BK636" s="256"/>
    </row>
    <row r="637" spans="1:63" ht="23.25" customHeight="1" thickBot="1" x14ac:dyDescent="0.25">
      <c r="A637" s="7">
        <v>636</v>
      </c>
      <c r="B637" s="221"/>
      <c r="C637" s="221"/>
      <c r="D637" s="54" t="s">
        <v>162</v>
      </c>
      <c r="E637" s="54"/>
      <c r="F637" s="16">
        <v>82.142857142857139</v>
      </c>
      <c r="G637" s="8">
        <v>10.714285714285714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17">
        <v>0</v>
      </c>
      <c r="T637" s="8">
        <v>7.1428571428571423</v>
      </c>
      <c r="U637" s="8">
        <v>0</v>
      </c>
      <c r="V637" s="8">
        <v>0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14">
        <f t="shared" si="42"/>
        <v>99.999999999999986</v>
      </c>
      <c r="AE637" s="8">
        <f>0.6/14*100</f>
        <v>4.2857142857142856</v>
      </c>
      <c r="AF637" s="8">
        <v>0</v>
      </c>
      <c r="AG637" s="8">
        <v>0</v>
      </c>
      <c r="AH637" s="8">
        <v>0</v>
      </c>
      <c r="AJ637" s="7"/>
      <c r="AK637" s="62"/>
      <c r="AL637" s="158"/>
      <c r="AM637" s="85"/>
      <c r="AN637" s="85"/>
      <c r="AO637" s="85"/>
      <c r="AP637" s="85"/>
      <c r="AQ637" s="85"/>
      <c r="AR637" s="85"/>
      <c r="AS637" s="85"/>
      <c r="AT637" s="205"/>
      <c r="AU637" s="85"/>
      <c r="AV637" s="196"/>
      <c r="AW637" s="85"/>
      <c r="AX637" s="85"/>
      <c r="AY637" s="39">
        <v>0.01</v>
      </c>
      <c r="AZ637" s="7">
        <v>257</v>
      </c>
      <c r="BA637" s="62"/>
      <c r="BB637" s="7">
        <v>5</v>
      </c>
      <c r="BC637" s="7">
        <v>17.8</v>
      </c>
      <c r="BD637" s="7">
        <v>260.7</v>
      </c>
      <c r="BE637" s="7">
        <v>27.1</v>
      </c>
      <c r="BF637" s="39"/>
      <c r="BG637" s="7"/>
      <c r="BH637" s="62"/>
      <c r="BI637" s="7"/>
      <c r="BJ637" s="32"/>
      <c r="BK637" s="256"/>
    </row>
    <row r="638" spans="1:63" ht="23.25" customHeight="1" thickBot="1" x14ac:dyDescent="0.25">
      <c r="A638" s="62">
        <v>637</v>
      </c>
      <c r="B638" s="221"/>
      <c r="C638" s="221"/>
      <c r="D638" s="54" t="s">
        <v>163</v>
      </c>
      <c r="E638" s="54"/>
      <c r="F638" s="16">
        <v>82.142857142857139</v>
      </c>
      <c r="G638" s="8">
        <v>10.714285714285714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17">
        <v>0</v>
      </c>
      <c r="T638" s="8">
        <v>7.1428571428571423</v>
      </c>
      <c r="U638" s="8">
        <v>0</v>
      </c>
      <c r="V638" s="8">
        <v>0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14">
        <f t="shared" si="42"/>
        <v>99.999999999999986</v>
      </c>
      <c r="AE638" s="8">
        <f>0.9/14*100</f>
        <v>6.4285714285714297</v>
      </c>
      <c r="AF638" s="8">
        <v>0</v>
      </c>
      <c r="AG638" s="8">
        <v>0</v>
      </c>
      <c r="AH638" s="8">
        <v>0</v>
      </c>
      <c r="AJ638" s="7"/>
      <c r="AK638" s="62"/>
      <c r="AL638" s="158"/>
      <c r="AM638" s="85"/>
      <c r="AN638" s="85"/>
      <c r="AO638" s="85"/>
      <c r="AP638" s="85"/>
      <c r="AQ638" s="85"/>
      <c r="AR638" s="85"/>
      <c r="AS638" s="85"/>
      <c r="AT638" s="205"/>
      <c r="AU638" s="85"/>
      <c r="AV638" s="196"/>
      <c r="AW638" s="85"/>
      <c r="AX638" s="85"/>
      <c r="AY638" s="39">
        <v>0.01</v>
      </c>
      <c r="AZ638" s="7">
        <v>272</v>
      </c>
      <c r="BA638" s="62"/>
      <c r="BB638" s="7">
        <v>5</v>
      </c>
      <c r="BC638" s="7">
        <v>16.899999999999999</v>
      </c>
      <c r="BD638" s="7">
        <v>272.2</v>
      </c>
      <c r="BE638" s="7">
        <v>26.3</v>
      </c>
      <c r="BF638" s="39"/>
      <c r="BG638" s="7"/>
      <c r="BH638" s="62"/>
      <c r="BI638" s="7"/>
      <c r="BJ638" s="32"/>
      <c r="BK638" s="256"/>
    </row>
    <row r="639" spans="1:63" ht="23.25" customHeight="1" thickBot="1" x14ac:dyDescent="0.25">
      <c r="A639" s="7">
        <v>638</v>
      </c>
      <c r="B639" s="221"/>
      <c r="C639" s="221"/>
      <c r="D639" s="54" t="s">
        <v>83</v>
      </c>
      <c r="E639" s="54"/>
      <c r="F639" s="16">
        <v>82.142857142857139</v>
      </c>
      <c r="G639" s="8">
        <v>10.714285714285714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17">
        <v>0</v>
      </c>
      <c r="T639" s="8">
        <v>7.1428571428571423</v>
      </c>
      <c r="U639" s="8">
        <v>0</v>
      </c>
      <c r="V639" s="8">
        <v>0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14">
        <f t="shared" si="42"/>
        <v>99.999999999999986</v>
      </c>
      <c r="AE639" s="8">
        <f>1.3/14*100</f>
        <v>9.2857142857142865</v>
      </c>
      <c r="AF639" s="8">
        <v>0</v>
      </c>
      <c r="AG639" s="8">
        <v>0</v>
      </c>
      <c r="AH639" s="8">
        <v>0</v>
      </c>
      <c r="AJ639" s="7"/>
      <c r="AK639" s="62"/>
      <c r="AL639" s="158"/>
      <c r="AM639" s="85"/>
      <c r="AN639" s="85"/>
      <c r="AO639" s="85"/>
      <c r="AP639" s="85"/>
      <c r="AQ639" s="85"/>
      <c r="AR639" s="85"/>
      <c r="AS639" s="85"/>
      <c r="AT639" s="205"/>
      <c r="AU639" s="85"/>
      <c r="AV639" s="196"/>
      <c r="AW639" s="85">
        <v>11.528</v>
      </c>
      <c r="AX639" s="85"/>
      <c r="AY639" s="39">
        <v>0.01</v>
      </c>
      <c r="AZ639" s="7">
        <v>288</v>
      </c>
      <c r="BA639" s="62"/>
      <c r="BB639" s="7" t="s">
        <v>524</v>
      </c>
      <c r="BC639" s="7" t="s">
        <v>684</v>
      </c>
      <c r="BD639" s="7" t="s">
        <v>980</v>
      </c>
      <c r="BE639" s="7" t="s">
        <v>979</v>
      </c>
      <c r="BF639" s="39"/>
      <c r="BG639" s="7"/>
      <c r="BH639" s="62"/>
      <c r="BI639" s="7"/>
      <c r="BJ639" s="32"/>
      <c r="BK639" s="256"/>
    </row>
    <row r="640" spans="1:63" ht="23.25" customHeight="1" thickBot="1" x14ac:dyDescent="0.25">
      <c r="A640" s="62">
        <v>639</v>
      </c>
      <c r="B640" s="221"/>
      <c r="C640" s="221"/>
      <c r="D640" s="54" t="s">
        <v>164</v>
      </c>
      <c r="E640" s="54"/>
      <c r="F640" s="16">
        <v>82.142857142857139</v>
      </c>
      <c r="G640" s="8">
        <v>10.714285714285714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17">
        <v>0</v>
      </c>
      <c r="T640" s="8">
        <v>7.1428571428571423</v>
      </c>
      <c r="U640" s="8">
        <v>0</v>
      </c>
      <c r="V640" s="8">
        <v>0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14">
        <f t="shared" si="42"/>
        <v>99.999999999999986</v>
      </c>
      <c r="AE640" s="8">
        <f>1.5/14*100</f>
        <v>10.714285714285714</v>
      </c>
      <c r="AF640" s="8">
        <v>0</v>
      </c>
      <c r="AG640" s="8">
        <v>0</v>
      </c>
      <c r="AH640" s="8">
        <v>0</v>
      </c>
      <c r="AJ640" s="7"/>
      <c r="AK640" s="62"/>
      <c r="AL640" s="158"/>
      <c r="AM640" s="85"/>
      <c r="AN640" s="85"/>
      <c r="AO640" s="85"/>
      <c r="AP640" s="85"/>
      <c r="AQ640" s="85"/>
      <c r="AR640" s="85"/>
      <c r="AS640" s="85"/>
      <c r="AT640" s="205"/>
      <c r="AU640" s="85"/>
      <c r="AV640" s="196"/>
      <c r="AW640" s="85"/>
      <c r="AX640" s="85"/>
      <c r="AY640" s="39">
        <v>0.01</v>
      </c>
      <c r="AZ640" s="7">
        <v>312</v>
      </c>
      <c r="BA640" s="62"/>
      <c r="BB640" s="7">
        <v>5</v>
      </c>
      <c r="BC640" s="7">
        <v>16.8</v>
      </c>
      <c r="BD640" s="7">
        <v>313.60000000000002</v>
      </c>
      <c r="BE640" s="7"/>
      <c r="BF640" s="39"/>
      <c r="BG640" s="7"/>
      <c r="BH640" s="62"/>
      <c r="BI640" s="7"/>
      <c r="BJ640" s="32"/>
      <c r="BK640" s="256"/>
    </row>
    <row r="641" spans="1:63" s="6" customFormat="1" ht="23.25" customHeight="1" thickBot="1" x14ac:dyDescent="0.25">
      <c r="A641" s="7">
        <v>640</v>
      </c>
      <c r="B641" s="222"/>
      <c r="C641" s="222"/>
      <c r="D641" s="13" t="s">
        <v>165</v>
      </c>
      <c r="E641" s="13"/>
      <c r="F641" s="80">
        <v>82.142857142857139</v>
      </c>
      <c r="G641" s="81">
        <v>10.714285714285714</v>
      </c>
      <c r="H641" s="81">
        <v>0</v>
      </c>
      <c r="I641" s="81">
        <v>0</v>
      </c>
      <c r="J641" s="81">
        <v>0</v>
      </c>
      <c r="K641" s="81">
        <v>0</v>
      </c>
      <c r="L641" s="81">
        <v>0</v>
      </c>
      <c r="M641" s="81">
        <v>0</v>
      </c>
      <c r="N641" s="81">
        <v>0</v>
      </c>
      <c r="O641" s="81">
        <v>0</v>
      </c>
      <c r="P641" s="81">
        <v>0</v>
      </c>
      <c r="Q641" s="81">
        <v>0</v>
      </c>
      <c r="R641" s="81">
        <v>0</v>
      </c>
      <c r="S641" s="82">
        <v>0</v>
      </c>
      <c r="T641" s="81">
        <v>7.1428571428571423</v>
      </c>
      <c r="U641" s="81">
        <v>0</v>
      </c>
      <c r="V641" s="81">
        <v>0</v>
      </c>
      <c r="W641" s="81">
        <v>0</v>
      </c>
      <c r="X641" s="81">
        <v>0</v>
      </c>
      <c r="Y641" s="81">
        <v>0</v>
      </c>
      <c r="Z641" s="81">
        <v>0</v>
      </c>
      <c r="AA641" s="81">
        <v>0</v>
      </c>
      <c r="AB641" s="81">
        <v>0</v>
      </c>
      <c r="AC641" s="81">
        <v>0</v>
      </c>
      <c r="AD641" s="83">
        <f t="shared" si="42"/>
        <v>99.999999999999986</v>
      </c>
      <c r="AE641" s="81">
        <f>1.8/14*100</f>
        <v>12.857142857142859</v>
      </c>
      <c r="AF641" s="81">
        <v>0</v>
      </c>
      <c r="AG641" s="81">
        <v>0</v>
      </c>
      <c r="AH641" s="81">
        <v>0</v>
      </c>
      <c r="AI641" s="79"/>
      <c r="AJ641" s="65"/>
      <c r="AK641" s="78"/>
      <c r="AL641" s="200"/>
      <c r="AM641" s="190"/>
      <c r="AN641" s="190"/>
      <c r="AO641" s="190"/>
      <c r="AP641" s="190"/>
      <c r="AQ641" s="190"/>
      <c r="AR641" s="190"/>
      <c r="AS641" s="190"/>
      <c r="AT641" s="201"/>
      <c r="AU641" s="190"/>
      <c r="AV641" s="202"/>
      <c r="AW641" s="190"/>
      <c r="AX641" s="190">
        <v>11.602</v>
      </c>
      <c r="AY641" s="79">
        <v>0.01</v>
      </c>
      <c r="AZ641" s="65">
        <v>341</v>
      </c>
      <c r="BA641" s="78"/>
      <c r="BB641" s="65">
        <v>5</v>
      </c>
      <c r="BC641" s="65">
        <v>20.5</v>
      </c>
      <c r="BD641" s="65">
        <v>342</v>
      </c>
      <c r="BE641" s="65">
        <v>20.9</v>
      </c>
      <c r="BF641" s="79"/>
      <c r="BG641" s="65"/>
      <c r="BH641" s="78"/>
      <c r="BI641" s="65"/>
      <c r="BJ641" s="68"/>
      <c r="BK641" s="256"/>
    </row>
    <row r="642" spans="1:63" ht="23.25" customHeight="1" thickBot="1" x14ac:dyDescent="0.25">
      <c r="A642" s="62">
        <v>641</v>
      </c>
      <c r="B642" s="238" t="s">
        <v>515</v>
      </c>
      <c r="C642" s="238" t="s">
        <v>1853</v>
      </c>
      <c r="D642" s="54" t="s">
        <v>169</v>
      </c>
      <c r="E642" s="54"/>
      <c r="F642" s="16">
        <v>82.142857142857139</v>
      </c>
      <c r="G642" s="8">
        <v>10.714285714285714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17">
        <v>0</v>
      </c>
      <c r="T642" s="8">
        <v>7.1428571428571423</v>
      </c>
      <c r="U642" s="8">
        <v>0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14">
        <f t="shared" si="42"/>
        <v>99.999999999999986</v>
      </c>
      <c r="AE642" s="8">
        <v>0</v>
      </c>
      <c r="AF642" s="8">
        <f>0.2/14*100</f>
        <v>1.4285714285714286</v>
      </c>
      <c r="AG642" s="8">
        <v>0</v>
      </c>
      <c r="AH642" s="8">
        <v>0</v>
      </c>
      <c r="AI642" s="39" t="s">
        <v>1531</v>
      </c>
      <c r="AJ642" s="7"/>
      <c r="AK642" s="62"/>
      <c r="AL642" s="158"/>
      <c r="AM642" s="85"/>
      <c r="AN642" s="85"/>
      <c r="AO642" s="85"/>
      <c r="AP642" s="85"/>
      <c r="AQ642" s="85"/>
      <c r="AR642" s="85"/>
      <c r="AS642" s="85"/>
      <c r="AT642" s="205"/>
      <c r="AU642" s="85"/>
      <c r="AV642" s="196"/>
      <c r="AW642" s="85">
        <v>11.481</v>
      </c>
      <c r="AX642" s="85"/>
      <c r="AY642" s="39">
        <v>1</v>
      </c>
      <c r="AZ642" s="7">
        <v>225</v>
      </c>
      <c r="BA642" s="62"/>
      <c r="BB642" s="7" t="s">
        <v>524</v>
      </c>
      <c r="BC642" s="7" t="s">
        <v>981</v>
      </c>
      <c r="BD642" s="7" t="s">
        <v>983</v>
      </c>
      <c r="BE642" s="7" t="s">
        <v>985</v>
      </c>
      <c r="BF642" s="39"/>
      <c r="BG642" s="7"/>
      <c r="BH642" s="62"/>
      <c r="BI642" s="7"/>
      <c r="BJ642" s="32"/>
      <c r="BK642" s="256"/>
    </row>
    <row r="643" spans="1:63" ht="23.25" customHeight="1" thickBot="1" x14ac:dyDescent="0.25">
      <c r="A643" s="7">
        <v>642</v>
      </c>
      <c r="B643" s="222"/>
      <c r="C643" s="222"/>
      <c r="D643" s="54" t="s">
        <v>170</v>
      </c>
      <c r="E643" s="54"/>
      <c r="F643" s="16">
        <v>82.142857142857139</v>
      </c>
      <c r="G643" s="8">
        <v>10.714285714285714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17">
        <v>0</v>
      </c>
      <c r="T643" s="8">
        <v>7.1428571428571423</v>
      </c>
      <c r="U643" s="8">
        <v>0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14">
        <f t="shared" si="42"/>
        <v>99.999999999999986</v>
      </c>
      <c r="AE643" s="8">
        <v>0</v>
      </c>
      <c r="AF643" s="8">
        <f>0.5/14*100</f>
        <v>3.5714285714285712</v>
      </c>
      <c r="AG643" s="8">
        <v>0</v>
      </c>
      <c r="AH643" s="8">
        <v>0</v>
      </c>
      <c r="AI643" s="39" t="s">
        <v>1531</v>
      </c>
      <c r="AJ643" s="7"/>
      <c r="AK643" s="62"/>
      <c r="AL643" s="158"/>
      <c r="AM643" s="85">
        <v>5</v>
      </c>
      <c r="AN643" s="85"/>
      <c r="AO643" s="85"/>
      <c r="AP643" s="85"/>
      <c r="AQ643" s="85"/>
      <c r="AR643" s="85"/>
      <c r="AS643" s="85"/>
      <c r="AT643" s="205"/>
      <c r="AU643" s="85"/>
      <c r="AV643" s="196">
        <f>SUM(AL643:AT643)</f>
        <v>5</v>
      </c>
      <c r="AW643" s="85">
        <v>11.518000000000001</v>
      </c>
      <c r="AX643" s="85"/>
      <c r="AY643" s="39">
        <v>1</v>
      </c>
      <c r="AZ643" s="7">
        <v>241</v>
      </c>
      <c r="BA643" s="62"/>
      <c r="BB643" s="7" t="s">
        <v>524</v>
      </c>
      <c r="BC643" s="7" t="s">
        <v>982</v>
      </c>
      <c r="BD643" s="7" t="s">
        <v>984</v>
      </c>
      <c r="BE643" s="7" t="s">
        <v>986</v>
      </c>
      <c r="BF643" s="39"/>
      <c r="BG643" s="7"/>
      <c r="BH643" s="62"/>
      <c r="BI643" s="7"/>
      <c r="BJ643" s="32"/>
      <c r="BK643" s="256"/>
    </row>
    <row r="644" spans="1:63" s="19" customFormat="1" ht="23.25" customHeight="1" thickBot="1" x14ac:dyDescent="0.25">
      <c r="A644" s="62">
        <v>643</v>
      </c>
      <c r="B644" s="70">
        <v>664</v>
      </c>
      <c r="C644" s="70" t="s">
        <v>1823</v>
      </c>
      <c r="D644" s="21" t="s">
        <v>84</v>
      </c>
      <c r="E644" s="21"/>
      <c r="F644" s="99">
        <v>82.142857142857139</v>
      </c>
      <c r="G644" s="100">
        <v>10.714285714285714</v>
      </c>
      <c r="H644" s="100">
        <v>0</v>
      </c>
      <c r="I644" s="100">
        <v>0</v>
      </c>
      <c r="J644" s="100">
        <v>0</v>
      </c>
      <c r="K644" s="100">
        <v>0</v>
      </c>
      <c r="L644" s="100">
        <v>0</v>
      </c>
      <c r="M644" s="100">
        <v>0</v>
      </c>
      <c r="N644" s="100">
        <v>0</v>
      </c>
      <c r="O644" s="100">
        <v>0</v>
      </c>
      <c r="P644" s="100">
        <v>0</v>
      </c>
      <c r="Q644" s="100">
        <v>0</v>
      </c>
      <c r="R644" s="100">
        <v>0</v>
      </c>
      <c r="S644" s="101">
        <v>0</v>
      </c>
      <c r="T644" s="100">
        <f>0.5/14*100</f>
        <v>3.5714285714285712</v>
      </c>
      <c r="U644" s="100">
        <v>0</v>
      </c>
      <c r="V644" s="100">
        <v>0</v>
      </c>
      <c r="W644" s="100">
        <f>0.5/14*100</f>
        <v>3.5714285714285712</v>
      </c>
      <c r="X644" s="100">
        <v>0</v>
      </c>
      <c r="Y644" s="100">
        <v>0</v>
      </c>
      <c r="Z644" s="100">
        <v>0</v>
      </c>
      <c r="AA644" s="100">
        <v>0</v>
      </c>
      <c r="AB644" s="100">
        <v>0</v>
      </c>
      <c r="AC644" s="100">
        <v>0</v>
      </c>
      <c r="AD644" s="102">
        <f t="shared" si="42"/>
        <v>99.999999999999986</v>
      </c>
      <c r="AE644" s="100">
        <v>0</v>
      </c>
      <c r="AF644" s="100">
        <f>0.3/14*100</f>
        <v>2.1428571428571428</v>
      </c>
      <c r="AG644" s="100">
        <v>0</v>
      </c>
      <c r="AH644" s="100">
        <v>0</v>
      </c>
      <c r="AI644" s="120"/>
      <c r="AJ644" s="98"/>
      <c r="AK644" s="105"/>
      <c r="AL644" s="206"/>
      <c r="AM644" s="194"/>
      <c r="AN644" s="194"/>
      <c r="AO644" s="194"/>
      <c r="AP644" s="194"/>
      <c r="AQ644" s="194"/>
      <c r="AR644" s="194"/>
      <c r="AS644" s="194"/>
      <c r="AT644" s="207"/>
      <c r="AU644" s="194"/>
      <c r="AV644" s="208"/>
      <c r="AW644" s="194"/>
      <c r="AX644" s="194"/>
      <c r="AY644" s="120"/>
      <c r="AZ644" s="98">
        <v>211</v>
      </c>
      <c r="BA644" s="105"/>
      <c r="BB644" s="98" t="s">
        <v>523</v>
      </c>
      <c r="BC644" s="98" t="s">
        <v>691</v>
      </c>
      <c r="BD644" s="98" t="s">
        <v>987</v>
      </c>
      <c r="BE644" s="98" t="s">
        <v>988</v>
      </c>
      <c r="BF644" s="120"/>
      <c r="BG644" s="98"/>
      <c r="BH644" s="105"/>
      <c r="BI644" s="98"/>
      <c r="BJ644" s="70"/>
      <c r="BK644" s="21"/>
    </row>
    <row r="645" spans="1:63" ht="23.25" customHeight="1" thickBot="1" x14ac:dyDescent="0.25">
      <c r="A645" s="7">
        <v>644</v>
      </c>
      <c r="B645" s="238">
        <v>46</v>
      </c>
      <c r="C645" s="238" t="s">
        <v>1830</v>
      </c>
      <c r="D645" s="54" t="s">
        <v>171</v>
      </c>
      <c r="E645" s="54"/>
      <c r="F645" s="16">
        <v>76.428571428571416</v>
      </c>
      <c r="G645" s="8">
        <v>10.714285714285714</v>
      </c>
      <c r="H645" s="8">
        <v>0</v>
      </c>
      <c r="I645" s="8">
        <v>0</v>
      </c>
      <c r="J645" s="8">
        <v>5.7142857142857144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17">
        <v>0</v>
      </c>
      <c r="T645" s="8">
        <v>5.7142857142857144</v>
      </c>
      <c r="U645" s="8">
        <v>0</v>
      </c>
      <c r="V645" s="8">
        <v>0</v>
      </c>
      <c r="W645" s="8">
        <v>1.4285714285714286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  <c r="AD645" s="14">
        <f t="shared" ref="AD645:AD708" si="45">SUM(F645:AC645)</f>
        <v>99.999999999999972</v>
      </c>
      <c r="AE645" s="8">
        <v>0</v>
      </c>
      <c r="AF645" s="8">
        <v>0</v>
      </c>
      <c r="AG645" s="8">
        <v>0</v>
      </c>
      <c r="AH645" s="8">
        <v>0</v>
      </c>
      <c r="AJ645" s="7"/>
      <c r="AK645" s="62"/>
      <c r="AL645" s="158"/>
      <c r="AM645" s="85"/>
      <c r="AN645" s="85"/>
      <c r="AO645" s="85"/>
      <c r="AP645" s="85"/>
      <c r="AQ645" s="85"/>
      <c r="AR645" s="85"/>
      <c r="AS645" s="85"/>
      <c r="AT645" s="205"/>
      <c r="AU645" s="85"/>
      <c r="AV645" s="196"/>
      <c r="AW645" s="85"/>
      <c r="AX645" s="85"/>
      <c r="AY645" s="39"/>
      <c r="AZ645" s="7">
        <v>280</v>
      </c>
      <c r="BA645" s="62"/>
      <c r="BB645" s="7" t="s">
        <v>524</v>
      </c>
      <c r="BC645" s="7" t="s">
        <v>989</v>
      </c>
      <c r="BD645" s="7"/>
      <c r="BE645" s="7"/>
      <c r="BF645" s="39"/>
      <c r="BG645" s="7"/>
      <c r="BH645" s="62"/>
      <c r="BI645" s="7"/>
      <c r="BJ645" s="32"/>
      <c r="BK645" s="256"/>
    </row>
    <row r="646" spans="1:63" ht="23.25" customHeight="1" thickBot="1" x14ac:dyDescent="0.25">
      <c r="A646" s="62">
        <v>645</v>
      </c>
      <c r="B646" s="221"/>
      <c r="C646" s="221"/>
      <c r="D646" s="54" t="s">
        <v>73</v>
      </c>
      <c r="E646" s="54"/>
      <c r="F646" s="16">
        <v>76.428571428571416</v>
      </c>
      <c r="G646" s="8">
        <v>10.714285714285714</v>
      </c>
      <c r="H646" s="8">
        <v>0</v>
      </c>
      <c r="I646" s="8">
        <v>0</v>
      </c>
      <c r="J646" s="8">
        <v>5.7142857142857144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17">
        <v>0</v>
      </c>
      <c r="T646" s="8">
        <v>4.2857142857142856</v>
      </c>
      <c r="U646" s="8">
        <v>0</v>
      </c>
      <c r="V646" s="8">
        <v>0</v>
      </c>
      <c r="W646" s="8">
        <v>2.8571428571428572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  <c r="AD646" s="14">
        <f t="shared" si="45"/>
        <v>99.999999999999986</v>
      </c>
      <c r="AE646" s="8">
        <v>0</v>
      </c>
      <c r="AF646" s="8">
        <v>0</v>
      </c>
      <c r="AG646" s="8">
        <v>0</v>
      </c>
      <c r="AH646" s="8">
        <v>0</v>
      </c>
      <c r="AJ646" s="7"/>
      <c r="AK646" s="62"/>
      <c r="AL646" s="158"/>
      <c r="AM646" s="85"/>
      <c r="AN646" s="85"/>
      <c r="AO646" s="85"/>
      <c r="AP646" s="85"/>
      <c r="AQ646" s="85"/>
      <c r="AR646" s="85"/>
      <c r="AS646" s="85"/>
      <c r="AT646" s="205"/>
      <c r="AU646" s="85"/>
      <c r="AV646" s="196"/>
      <c r="AW646" s="85"/>
      <c r="AX646" s="85"/>
      <c r="AY646" s="39"/>
      <c r="AZ646" s="7">
        <v>274</v>
      </c>
      <c r="BA646" s="62"/>
      <c r="BB646" s="7" t="s">
        <v>524</v>
      </c>
      <c r="BC646" s="7" t="s">
        <v>990</v>
      </c>
      <c r="BD646" s="7"/>
      <c r="BE646" s="7"/>
      <c r="BF646" s="39"/>
      <c r="BG646" s="7"/>
      <c r="BH646" s="62"/>
      <c r="BI646" s="7"/>
      <c r="BJ646" s="32"/>
      <c r="BK646" s="256"/>
    </row>
    <row r="647" spans="1:63" ht="23.25" customHeight="1" thickBot="1" x14ac:dyDescent="0.25">
      <c r="A647" s="7">
        <v>646</v>
      </c>
      <c r="B647" s="222"/>
      <c r="C647" s="222"/>
      <c r="D647" s="54" t="s">
        <v>86</v>
      </c>
      <c r="E647" s="54"/>
      <c r="F647" s="16">
        <v>76.428571428571416</v>
      </c>
      <c r="G647" s="8">
        <v>10.714285714285714</v>
      </c>
      <c r="H647" s="8">
        <v>0</v>
      </c>
      <c r="I647" s="8">
        <v>0</v>
      </c>
      <c r="J647" s="8">
        <v>5.7142857142857144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>
        <v>0</v>
      </c>
      <c r="S647" s="17">
        <v>0</v>
      </c>
      <c r="T647" s="8">
        <v>3.5714285714285712</v>
      </c>
      <c r="U647" s="8">
        <v>0</v>
      </c>
      <c r="V647" s="8">
        <v>0</v>
      </c>
      <c r="W647" s="8">
        <v>3.5714285714285712</v>
      </c>
      <c r="X647" s="8">
        <v>0</v>
      </c>
      <c r="Y647" s="8">
        <v>0</v>
      </c>
      <c r="Z647" s="8">
        <v>0</v>
      </c>
      <c r="AA647" s="8">
        <v>0</v>
      </c>
      <c r="AB647" s="8">
        <v>0</v>
      </c>
      <c r="AC647" s="8">
        <v>0</v>
      </c>
      <c r="AD647" s="14">
        <f t="shared" si="45"/>
        <v>99.999999999999972</v>
      </c>
      <c r="AE647" s="8">
        <v>0</v>
      </c>
      <c r="AF647" s="8">
        <v>0</v>
      </c>
      <c r="AG647" s="8">
        <v>0</v>
      </c>
      <c r="AH647" s="8">
        <v>0</v>
      </c>
      <c r="AJ647" s="7"/>
      <c r="AK647" s="62"/>
      <c r="AL647" s="158"/>
      <c r="AM647" s="85"/>
      <c r="AN647" s="85"/>
      <c r="AO647" s="85"/>
      <c r="AP647" s="85"/>
      <c r="AQ647" s="85"/>
      <c r="AR647" s="85"/>
      <c r="AS647" s="85"/>
      <c r="AT647" s="205"/>
      <c r="AU647" s="85"/>
      <c r="AV647" s="196"/>
      <c r="AW647" s="85"/>
      <c r="AX647" s="85"/>
      <c r="AY647" s="39"/>
      <c r="AZ647" s="7">
        <v>272</v>
      </c>
      <c r="BA647" s="62"/>
      <c r="BB647" s="7" t="s">
        <v>524</v>
      </c>
      <c r="BC647" s="7" t="s">
        <v>693</v>
      </c>
      <c r="BD647" s="7"/>
      <c r="BE647" s="7"/>
      <c r="BF647" s="39"/>
      <c r="BG647" s="7"/>
      <c r="BH647" s="62"/>
      <c r="BI647" s="7"/>
      <c r="BJ647" s="32"/>
      <c r="BK647" s="256"/>
    </row>
    <row r="648" spans="1:63" s="19" customFormat="1" ht="23.25" customHeight="1" thickBot="1" x14ac:dyDescent="0.25">
      <c r="A648" s="62">
        <v>647</v>
      </c>
      <c r="B648" s="70">
        <v>592</v>
      </c>
      <c r="C648" s="70" t="s">
        <v>1803</v>
      </c>
      <c r="D648" s="21" t="s">
        <v>85</v>
      </c>
      <c r="E648" s="21"/>
      <c r="F648" s="99">
        <v>76.428571428571416</v>
      </c>
      <c r="G648" s="100">
        <v>10.714285714285714</v>
      </c>
      <c r="H648" s="100">
        <v>0</v>
      </c>
      <c r="I648" s="100">
        <v>0</v>
      </c>
      <c r="J648" s="100">
        <v>5.7142857142857144</v>
      </c>
      <c r="K648" s="100">
        <v>0</v>
      </c>
      <c r="L648" s="100">
        <v>0</v>
      </c>
      <c r="M648" s="100">
        <v>0</v>
      </c>
      <c r="N648" s="100">
        <v>0</v>
      </c>
      <c r="O648" s="100">
        <v>0</v>
      </c>
      <c r="P648" s="100">
        <v>0</v>
      </c>
      <c r="Q648" s="100">
        <v>0</v>
      </c>
      <c r="R648" s="100">
        <v>0</v>
      </c>
      <c r="S648" s="101">
        <v>0</v>
      </c>
      <c r="T648" s="100">
        <v>5</v>
      </c>
      <c r="U648" s="100">
        <v>2.1428571428571428</v>
      </c>
      <c r="V648" s="100">
        <v>0</v>
      </c>
      <c r="W648" s="100">
        <v>0</v>
      </c>
      <c r="X648" s="100">
        <v>0</v>
      </c>
      <c r="Y648" s="100">
        <v>0</v>
      </c>
      <c r="Z648" s="100">
        <v>0</v>
      </c>
      <c r="AA648" s="100">
        <v>0</v>
      </c>
      <c r="AB648" s="100">
        <v>0</v>
      </c>
      <c r="AC648" s="100">
        <v>0</v>
      </c>
      <c r="AD648" s="102">
        <f t="shared" si="45"/>
        <v>99.999999999999972</v>
      </c>
      <c r="AE648" s="100">
        <v>0</v>
      </c>
      <c r="AF648" s="100">
        <v>0</v>
      </c>
      <c r="AG648" s="100">
        <v>0</v>
      </c>
      <c r="AH648" s="100">
        <v>0</v>
      </c>
      <c r="AI648" s="120"/>
      <c r="AJ648" s="98"/>
      <c r="AK648" s="105"/>
      <c r="AL648" s="206"/>
      <c r="AM648" s="194"/>
      <c r="AN648" s="194"/>
      <c r="AO648" s="194"/>
      <c r="AP648" s="194"/>
      <c r="AQ648" s="194"/>
      <c r="AR648" s="194"/>
      <c r="AS648" s="194"/>
      <c r="AT648" s="207"/>
      <c r="AU648" s="194"/>
      <c r="AV648" s="208"/>
      <c r="AW648" s="194"/>
      <c r="AX648" s="194"/>
      <c r="AY648" s="120"/>
      <c r="AZ648" s="98">
        <v>280</v>
      </c>
      <c r="BA648" s="105"/>
      <c r="BB648" s="98" t="s">
        <v>524</v>
      </c>
      <c r="BC648" s="98" t="s">
        <v>692</v>
      </c>
      <c r="BD648" s="98"/>
      <c r="BE648" s="98"/>
      <c r="BF648" s="120"/>
      <c r="BG648" s="98"/>
      <c r="BH648" s="105"/>
      <c r="BI648" s="98"/>
      <c r="BJ648" s="70"/>
      <c r="BK648" s="21"/>
    </row>
    <row r="649" spans="1:63" ht="23.25" customHeight="1" thickBot="1" x14ac:dyDescent="0.25">
      <c r="A649" s="7">
        <v>648</v>
      </c>
      <c r="B649" s="238">
        <v>638</v>
      </c>
      <c r="C649" s="238" t="s">
        <v>1822</v>
      </c>
      <c r="D649" s="225" t="s">
        <v>264</v>
      </c>
      <c r="E649" s="54" t="s">
        <v>271</v>
      </c>
      <c r="F649" s="16">
        <v>84.285714285714292</v>
      </c>
      <c r="G649" s="8">
        <v>8.5714285714285712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>
        <v>0</v>
      </c>
      <c r="S649" s="17">
        <v>0</v>
      </c>
      <c r="T649" s="8">
        <v>7.1428571428571423</v>
      </c>
      <c r="U649" s="8">
        <v>0</v>
      </c>
      <c r="V649" s="8">
        <v>0</v>
      </c>
      <c r="W649" s="8">
        <v>0</v>
      </c>
      <c r="X649" s="8">
        <v>0</v>
      </c>
      <c r="Y649" s="8">
        <v>0</v>
      </c>
      <c r="Z649" s="8">
        <v>0</v>
      </c>
      <c r="AA649" s="8">
        <v>0</v>
      </c>
      <c r="AB649" s="8">
        <v>0</v>
      </c>
      <c r="AC649" s="8">
        <v>0</v>
      </c>
      <c r="AD649" s="14">
        <f t="shared" si="45"/>
        <v>100</v>
      </c>
      <c r="AE649" s="8">
        <v>0</v>
      </c>
      <c r="AF649" s="8">
        <v>0</v>
      </c>
      <c r="AG649" s="8">
        <v>0</v>
      </c>
      <c r="AH649" s="8">
        <v>0</v>
      </c>
      <c r="AI649" s="39" t="s">
        <v>1531</v>
      </c>
      <c r="AJ649" s="7">
        <v>720</v>
      </c>
      <c r="AK649" s="62">
        <v>1273</v>
      </c>
      <c r="AL649" s="158"/>
      <c r="AM649" s="85"/>
      <c r="AN649" s="85"/>
      <c r="AO649" s="85"/>
      <c r="AP649" s="85"/>
      <c r="AQ649" s="85"/>
      <c r="AR649" s="85"/>
      <c r="AS649" s="85"/>
      <c r="AT649" s="205"/>
      <c r="AU649" s="85"/>
      <c r="AV649" s="196"/>
      <c r="AW649" s="85"/>
      <c r="AX649" s="85"/>
      <c r="AY649" s="39"/>
      <c r="AZ649" s="7">
        <v>189</v>
      </c>
      <c r="BA649" s="62"/>
      <c r="BB649" s="7">
        <v>5</v>
      </c>
      <c r="BC649" s="7">
        <v>29.2</v>
      </c>
      <c r="BD649" s="7">
        <v>193</v>
      </c>
      <c r="BE649" s="7">
        <v>185.4</v>
      </c>
      <c r="BF649" s="39"/>
      <c r="BG649" s="7"/>
      <c r="BH649" s="62"/>
      <c r="BI649" s="7"/>
      <c r="BJ649" s="32"/>
      <c r="BK649" s="256"/>
    </row>
    <row r="650" spans="1:63" ht="23.25" customHeight="1" thickBot="1" x14ac:dyDescent="0.25">
      <c r="A650" s="62">
        <v>649</v>
      </c>
      <c r="B650" s="221"/>
      <c r="C650" s="221"/>
      <c r="D650" s="223"/>
      <c r="E650" s="54" t="s">
        <v>344</v>
      </c>
      <c r="F650" s="16">
        <v>83.571428571428569</v>
      </c>
      <c r="G650" s="8">
        <v>9.2857142857142865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17">
        <v>0</v>
      </c>
      <c r="T650" s="8">
        <v>7.1428571428571423</v>
      </c>
      <c r="U650" s="8">
        <v>0</v>
      </c>
      <c r="V650" s="8">
        <v>0</v>
      </c>
      <c r="W650" s="8">
        <v>0</v>
      </c>
      <c r="X650" s="8">
        <v>0</v>
      </c>
      <c r="Y650" s="8">
        <v>0</v>
      </c>
      <c r="Z650" s="8">
        <v>0</v>
      </c>
      <c r="AA650" s="8">
        <v>0</v>
      </c>
      <c r="AB650" s="8">
        <v>0</v>
      </c>
      <c r="AC650" s="8">
        <v>0</v>
      </c>
      <c r="AD650" s="14">
        <f t="shared" si="45"/>
        <v>100</v>
      </c>
      <c r="AE650" s="8">
        <v>0</v>
      </c>
      <c r="AF650" s="8">
        <v>0</v>
      </c>
      <c r="AG650" s="8">
        <v>0</v>
      </c>
      <c r="AH650" s="8">
        <v>0</v>
      </c>
      <c r="AI650" s="39" t="s">
        <v>1531</v>
      </c>
      <c r="AJ650" s="7">
        <v>720</v>
      </c>
      <c r="AK650" s="62">
        <v>1273</v>
      </c>
      <c r="AL650" s="158"/>
      <c r="AM650" s="85"/>
      <c r="AN650" s="85"/>
      <c r="AO650" s="85"/>
      <c r="AP650" s="85"/>
      <c r="AQ650" s="85"/>
      <c r="AR650" s="85"/>
      <c r="AS650" s="85"/>
      <c r="AT650" s="205"/>
      <c r="AU650" s="85"/>
      <c r="AV650" s="196"/>
      <c r="AW650" s="85"/>
      <c r="AX650" s="85"/>
      <c r="AY650" s="39"/>
      <c r="AZ650" s="7">
        <v>194.4</v>
      </c>
      <c r="BA650" s="62"/>
      <c r="BB650" s="7">
        <v>5</v>
      </c>
      <c r="BC650" s="7">
        <v>25.9</v>
      </c>
      <c r="BD650" s="7"/>
      <c r="BE650" s="7"/>
      <c r="BF650" s="39"/>
      <c r="BG650" s="7"/>
      <c r="BH650" s="62"/>
      <c r="BI650" s="7"/>
      <c r="BJ650" s="32"/>
      <c r="BK650" s="256"/>
    </row>
    <row r="651" spans="1:63" ht="23.25" customHeight="1" thickBot="1" x14ac:dyDescent="0.25">
      <c r="A651" s="7">
        <v>650</v>
      </c>
      <c r="B651" s="221"/>
      <c r="C651" s="221"/>
      <c r="D651" s="223"/>
      <c r="E651" s="54" t="s">
        <v>270</v>
      </c>
      <c r="F651" s="16">
        <v>82.857142857142847</v>
      </c>
      <c r="G651" s="8">
        <v>10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17">
        <v>0</v>
      </c>
      <c r="T651" s="8">
        <v>7.1428571428571423</v>
      </c>
      <c r="U651" s="8">
        <v>0</v>
      </c>
      <c r="V651" s="8">
        <v>0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0</v>
      </c>
      <c r="AD651" s="14">
        <f t="shared" si="45"/>
        <v>99.999999999999986</v>
      </c>
      <c r="AE651" s="8">
        <v>0</v>
      </c>
      <c r="AF651" s="8">
        <v>0</v>
      </c>
      <c r="AG651" s="8">
        <v>0</v>
      </c>
      <c r="AH651" s="8">
        <v>0</v>
      </c>
      <c r="AI651" s="39" t="s">
        <v>1531</v>
      </c>
      <c r="AJ651" s="7">
        <v>720</v>
      </c>
      <c r="AK651" s="62">
        <v>1273</v>
      </c>
      <c r="AL651" s="158"/>
      <c r="AM651" s="85"/>
      <c r="AN651" s="85"/>
      <c r="AO651" s="85"/>
      <c r="AP651" s="85"/>
      <c r="AQ651" s="85"/>
      <c r="AR651" s="85"/>
      <c r="AS651" s="85"/>
      <c r="AT651" s="205"/>
      <c r="AU651" s="85"/>
      <c r="AV651" s="196"/>
      <c r="AW651" s="85"/>
      <c r="AX651" s="85"/>
      <c r="AY651" s="39"/>
      <c r="AZ651" s="7">
        <v>200.1</v>
      </c>
      <c r="BA651" s="62"/>
      <c r="BB651" s="7">
        <v>5</v>
      </c>
      <c r="BC651" s="7">
        <v>24</v>
      </c>
      <c r="BD651" s="7"/>
      <c r="BE651" s="7"/>
      <c r="BF651" s="39"/>
      <c r="BG651" s="7"/>
      <c r="BH651" s="62"/>
      <c r="BI651" s="7"/>
      <c r="BJ651" s="32"/>
      <c r="BK651" s="256"/>
    </row>
    <row r="652" spans="1:63" ht="23.25" customHeight="1" thickBot="1" x14ac:dyDescent="0.25">
      <c r="A652" s="62">
        <v>651</v>
      </c>
      <c r="B652" s="221"/>
      <c r="C652" s="221"/>
      <c r="D652" s="223"/>
      <c r="E652" s="54" t="s">
        <v>291</v>
      </c>
      <c r="F652" s="16">
        <v>82.142857142857139</v>
      </c>
      <c r="G652" s="8">
        <v>10.714285714285714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17">
        <v>0</v>
      </c>
      <c r="T652" s="8">
        <v>7.1428571428571423</v>
      </c>
      <c r="U652" s="8">
        <v>0</v>
      </c>
      <c r="V652" s="8">
        <v>0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14">
        <f t="shared" si="45"/>
        <v>99.999999999999986</v>
      </c>
      <c r="AE652" s="8">
        <v>0</v>
      </c>
      <c r="AF652" s="8">
        <v>0</v>
      </c>
      <c r="AG652" s="8">
        <v>0</v>
      </c>
      <c r="AH652" s="8">
        <v>0</v>
      </c>
      <c r="AI652" s="39" t="s">
        <v>1531</v>
      </c>
      <c r="AJ652" s="7">
        <v>720</v>
      </c>
      <c r="AK652" s="62">
        <v>1273</v>
      </c>
      <c r="AL652" s="158"/>
      <c r="AM652" s="85"/>
      <c r="AN652" s="85"/>
      <c r="AO652" s="85"/>
      <c r="AP652" s="85"/>
      <c r="AQ652" s="85"/>
      <c r="AR652" s="85"/>
      <c r="AS652" s="85"/>
      <c r="AT652" s="205"/>
      <c r="AU652" s="85"/>
      <c r="AV652" s="196"/>
      <c r="AW652" s="85"/>
      <c r="AX652" s="85"/>
      <c r="AY652" s="39"/>
      <c r="AZ652" s="7">
        <v>205.1</v>
      </c>
      <c r="BA652" s="62"/>
      <c r="BB652" s="7">
        <v>5</v>
      </c>
      <c r="BC652" s="7">
        <v>24.1</v>
      </c>
      <c r="BD652" s="7"/>
      <c r="BE652" s="7"/>
      <c r="BF652" s="39"/>
      <c r="BG652" s="7"/>
      <c r="BH652" s="62"/>
      <c r="BI652" s="7"/>
      <c r="BJ652" s="32"/>
      <c r="BK652" s="256"/>
    </row>
    <row r="653" spans="1:63" ht="23.25" customHeight="1" thickBot="1" x14ac:dyDescent="0.25">
      <c r="A653" s="7">
        <v>652</v>
      </c>
      <c r="B653" s="221"/>
      <c r="C653" s="221"/>
      <c r="D653" s="223"/>
      <c r="E653" s="54" t="s">
        <v>269</v>
      </c>
      <c r="F653" s="16">
        <v>81.428571428571431</v>
      </c>
      <c r="G653" s="8">
        <v>11.428571428571429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17">
        <v>0</v>
      </c>
      <c r="T653" s="8">
        <v>7.1428571428571423</v>
      </c>
      <c r="U653" s="8">
        <v>0</v>
      </c>
      <c r="V653" s="8">
        <v>0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14">
        <f t="shared" si="45"/>
        <v>100</v>
      </c>
      <c r="AE653" s="8">
        <v>0</v>
      </c>
      <c r="AF653" s="8">
        <v>0</v>
      </c>
      <c r="AG653" s="8">
        <v>0</v>
      </c>
      <c r="AH653" s="8">
        <v>0</v>
      </c>
      <c r="AI653" s="39" t="s">
        <v>1531</v>
      </c>
      <c r="AJ653" s="7">
        <v>720</v>
      </c>
      <c r="AK653" s="62">
        <v>1273</v>
      </c>
      <c r="AL653" s="158"/>
      <c r="AM653" s="85"/>
      <c r="AN653" s="85"/>
      <c r="AO653" s="85"/>
      <c r="AP653" s="85"/>
      <c r="AQ653" s="85"/>
      <c r="AR653" s="85"/>
      <c r="AS653" s="85"/>
      <c r="AT653" s="205"/>
      <c r="AU653" s="85"/>
      <c r="AV653" s="196"/>
      <c r="AW653" s="85"/>
      <c r="AX653" s="85"/>
      <c r="AY653" s="39"/>
      <c r="AZ653" s="7">
        <v>210.2</v>
      </c>
      <c r="BA653" s="62"/>
      <c r="BB653" s="7">
        <v>5</v>
      </c>
      <c r="BC653" s="7">
        <v>18.899999999999999</v>
      </c>
      <c r="BD653" s="7"/>
      <c r="BE653" s="7"/>
      <c r="BF653" s="39"/>
      <c r="BG653" s="7"/>
      <c r="BH653" s="62"/>
      <c r="BI653" s="7"/>
      <c r="BJ653" s="32"/>
      <c r="BK653" s="256"/>
    </row>
    <row r="654" spans="1:63" ht="23.25" customHeight="1" thickBot="1" x14ac:dyDescent="0.25">
      <c r="A654" s="62">
        <v>653</v>
      </c>
      <c r="B654" s="221"/>
      <c r="C654" s="221"/>
      <c r="D654" s="223"/>
      <c r="E654" s="54" t="s">
        <v>318</v>
      </c>
      <c r="F654" s="16">
        <v>80.714285714285722</v>
      </c>
      <c r="G654" s="8">
        <v>12.142857142857142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17">
        <v>0</v>
      </c>
      <c r="T654" s="8">
        <v>7.1428571428571423</v>
      </c>
      <c r="U654" s="8">
        <v>0</v>
      </c>
      <c r="V654" s="8">
        <v>0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>
        <v>0</v>
      </c>
      <c r="AC654" s="8">
        <v>0</v>
      </c>
      <c r="AD654" s="14">
        <f t="shared" si="45"/>
        <v>100</v>
      </c>
      <c r="AE654" s="8">
        <v>0</v>
      </c>
      <c r="AF654" s="8">
        <v>0</v>
      </c>
      <c r="AG654" s="8">
        <v>0</v>
      </c>
      <c r="AH654" s="8">
        <v>0</v>
      </c>
      <c r="AI654" s="39" t="s">
        <v>1531</v>
      </c>
      <c r="AJ654" s="7">
        <v>720</v>
      </c>
      <c r="AK654" s="62">
        <v>1273</v>
      </c>
      <c r="AL654" s="158"/>
      <c r="AM654" s="85"/>
      <c r="AN654" s="85"/>
      <c r="AO654" s="85"/>
      <c r="AP654" s="85"/>
      <c r="AQ654" s="85"/>
      <c r="AR654" s="85"/>
      <c r="AS654" s="85"/>
      <c r="AT654" s="205"/>
      <c r="AU654" s="85"/>
      <c r="AV654" s="196"/>
      <c r="AW654" s="85"/>
      <c r="AX654" s="85"/>
      <c r="AY654" s="39"/>
      <c r="AZ654" s="7">
        <v>215</v>
      </c>
      <c r="BA654" s="62"/>
      <c r="BB654" s="7">
        <v>5</v>
      </c>
      <c r="BC654" s="7">
        <v>17.2</v>
      </c>
      <c r="BD654" s="7"/>
      <c r="BE654" s="7"/>
      <c r="BF654" s="39"/>
      <c r="BG654" s="7"/>
      <c r="BH654" s="62"/>
      <c r="BI654" s="7"/>
      <c r="BJ654" s="32"/>
      <c r="BK654" s="256"/>
    </row>
    <row r="655" spans="1:63" ht="23.25" customHeight="1" thickBot="1" x14ac:dyDescent="0.25">
      <c r="A655" s="7">
        <v>654</v>
      </c>
      <c r="B655" s="222"/>
      <c r="C655" s="222"/>
      <c r="D655" s="224"/>
      <c r="E655" s="54" t="s">
        <v>268</v>
      </c>
      <c r="F655" s="16">
        <v>80</v>
      </c>
      <c r="G655" s="8">
        <v>12.857142857142859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17">
        <v>0</v>
      </c>
      <c r="T655" s="8">
        <v>7.1428571428571423</v>
      </c>
      <c r="U655" s="8">
        <v>0</v>
      </c>
      <c r="V655" s="8">
        <v>0</v>
      </c>
      <c r="W655" s="8">
        <v>0</v>
      </c>
      <c r="X655" s="8">
        <v>0</v>
      </c>
      <c r="Y655" s="8">
        <v>0</v>
      </c>
      <c r="Z655" s="8">
        <v>0</v>
      </c>
      <c r="AA655" s="8">
        <v>0</v>
      </c>
      <c r="AB655" s="8">
        <v>0</v>
      </c>
      <c r="AC655" s="8">
        <v>0</v>
      </c>
      <c r="AD655" s="14">
        <f t="shared" si="45"/>
        <v>100</v>
      </c>
      <c r="AE655" s="8">
        <v>0</v>
      </c>
      <c r="AF655" s="8">
        <v>0</v>
      </c>
      <c r="AG655" s="8">
        <v>0</v>
      </c>
      <c r="AH655" s="8">
        <v>0</v>
      </c>
      <c r="AI655" s="39" t="s">
        <v>1531</v>
      </c>
      <c r="AJ655" s="7">
        <v>720</v>
      </c>
      <c r="AK655" s="62">
        <v>1273</v>
      </c>
      <c r="AL655" s="158"/>
      <c r="AM655" s="85"/>
      <c r="AN655" s="85"/>
      <c r="AO655" s="85"/>
      <c r="AP655" s="85"/>
      <c r="AQ655" s="85"/>
      <c r="AR655" s="85"/>
      <c r="AS655" s="85"/>
      <c r="AT655" s="205"/>
      <c r="AU655" s="85"/>
      <c r="AV655" s="196"/>
      <c r="AW655" s="85"/>
      <c r="AX655" s="85"/>
      <c r="AY655" s="39"/>
      <c r="AZ655" s="7">
        <v>220.2</v>
      </c>
      <c r="BA655" s="62"/>
      <c r="BB655" s="7">
        <v>5</v>
      </c>
      <c r="BC655" s="7">
        <v>12.9</v>
      </c>
      <c r="BD655" s="7">
        <v>196.6</v>
      </c>
      <c r="BE655" s="7"/>
      <c r="BF655" s="39"/>
      <c r="BG655" s="7"/>
      <c r="BH655" s="62"/>
      <c r="BI655" s="7"/>
      <c r="BJ655" s="32"/>
      <c r="BK655" s="256"/>
    </row>
    <row r="656" spans="1:63" s="4" customFormat="1" ht="23.25" customHeight="1" thickBot="1" x14ac:dyDescent="0.25">
      <c r="A656" s="62">
        <v>655</v>
      </c>
      <c r="B656" s="238">
        <v>641</v>
      </c>
      <c r="C656" s="238" t="s">
        <v>1821</v>
      </c>
      <c r="D656" s="225" t="s">
        <v>264</v>
      </c>
      <c r="E656" s="12" t="s">
        <v>480</v>
      </c>
      <c r="F656" s="87">
        <v>85.714285714285708</v>
      </c>
      <c r="G656" s="88">
        <v>7.1428571428571423</v>
      </c>
      <c r="H656" s="88">
        <v>0</v>
      </c>
      <c r="I656" s="88">
        <v>0</v>
      </c>
      <c r="J656" s="88">
        <v>0</v>
      </c>
      <c r="K656" s="88">
        <v>0</v>
      </c>
      <c r="L656" s="88">
        <v>0</v>
      </c>
      <c r="M656" s="88">
        <v>0</v>
      </c>
      <c r="N656" s="88">
        <v>0</v>
      </c>
      <c r="O656" s="88">
        <v>0</v>
      </c>
      <c r="P656" s="88">
        <v>0</v>
      </c>
      <c r="Q656" s="88">
        <v>0</v>
      </c>
      <c r="R656" s="88">
        <v>0</v>
      </c>
      <c r="S656" s="89">
        <v>0</v>
      </c>
      <c r="T656" s="88">
        <v>7.1428571428571423</v>
      </c>
      <c r="U656" s="88">
        <v>0</v>
      </c>
      <c r="V656" s="88">
        <v>0</v>
      </c>
      <c r="W656" s="88">
        <v>0</v>
      </c>
      <c r="X656" s="88">
        <v>0</v>
      </c>
      <c r="Y656" s="88">
        <v>0</v>
      </c>
      <c r="Z656" s="88">
        <v>0</v>
      </c>
      <c r="AA656" s="88">
        <v>0</v>
      </c>
      <c r="AB656" s="88">
        <v>0</v>
      </c>
      <c r="AC656" s="88">
        <v>0</v>
      </c>
      <c r="AD656" s="90">
        <f t="shared" si="45"/>
        <v>99.999999999999986</v>
      </c>
      <c r="AE656" s="88">
        <v>0</v>
      </c>
      <c r="AF656" s="88">
        <v>0</v>
      </c>
      <c r="AG656" s="88">
        <v>0</v>
      </c>
      <c r="AH656" s="88">
        <v>0</v>
      </c>
      <c r="AI656" s="159" t="s">
        <v>1529</v>
      </c>
      <c r="AJ656" s="106">
        <v>2</v>
      </c>
      <c r="AK656" s="107">
        <v>1323</v>
      </c>
      <c r="AL656" s="197"/>
      <c r="AM656" s="189"/>
      <c r="AN656" s="189"/>
      <c r="AO656" s="189"/>
      <c r="AP656" s="189"/>
      <c r="AQ656" s="189"/>
      <c r="AR656" s="189"/>
      <c r="AS656" s="189"/>
      <c r="AT656" s="198"/>
      <c r="AU656" s="189"/>
      <c r="AV656" s="199"/>
      <c r="AW656" s="189"/>
      <c r="AX656" s="189"/>
      <c r="AY656" s="156"/>
      <c r="AZ656" s="45"/>
      <c r="BA656" s="91"/>
      <c r="BB656" s="45">
        <v>5</v>
      </c>
      <c r="BC656" s="45">
        <v>25.4</v>
      </c>
      <c r="BD656" s="45">
        <v>201.5</v>
      </c>
      <c r="BE656" s="45">
        <v>20.9</v>
      </c>
      <c r="BF656" s="156"/>
      <c r="BG656" s="45"/>
      <c r="BH656" s="91"/>
      <c r="BI656" s="45"/>
      <c r="BJ656" s="67"/>
      <c r="BK656" s="256"/>
    </row>
    <row r="657" spans="1:63" ht="23.25" customHeight="1" thickBot="1" x14ac:dyDescent="0.25">
      <c r="A657" s="7">
        <v>656</v>
      </c>
      <c r="B657" s="221"/>
      <c r="C657" s="221"/>
      <c r="D657" s="223"/>
      <c r="E657" s="54" t="s">
        <v>481</v>
      </c>
      <c r="F657" s="16">
        <v>84.285714285714292</v>
      </c>
      <c r="G657" s="8">
        <v>8.5714285714285712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17">
        <v>0</v>
      </c>
      <c r="T657" s="8">
        <v>7.1428571428571423</v>
      </c>
      <c r="U657" s="8">
        <v>0</v>
      </c>
      <c r="V657" s="8">
        <v>0</v>
      </c>
      <c r="W657" s="8">
        <v>0</v>
      </c>
      <c r="X657" s="8">
        <v>0</v>
      </c>
      <c r="Y657" s="8">
        <v>0</v>
      </c>
      <c r="Z657" s="8">
        <v>0</v>
      </c>
      <c r="AA657" s="8">
        <v>0</v>
      </c>
      <c r="AB657" s="8">
        <v>0</v>
      </c>
      <c r="AC657" s="8">
        <v>0</v>
      </c>
      <c r="AD657" s="14">
        <f t="shared" si="45"/>
        <v>100</v>
      </c>
      <c r="AE657" s="8">
        <v>0</v>
      </c>
      <c r="AF657" s="8">
        <v>0</v>
      </c>
      <c r="AG657" s="8">
        <v>0</v>
      </c>
      <c r="AH657" s="8">
        <v>0</v>
      </c>
      <c r="AI657" s="63" t="s">
        <v>1529</v>
      </c>
      <c r="AJ657" s="64">
        <v>2</v>
      </c>
      <c r="AK657" s="93">
        <v>1323</v>
      </c>
      <c r="AL657" s="158"/>
      <c r="AM657" s="85"/>
      <c r="AN657" s="85"/>
      <c r="AO657" s="85"/>
      <c r="AP657" s="85"/>
      <c r="AQ657" s="85"/>
      <c r="AR657" s="85"/>
      <c r="AS657" s="85"/>
      <c r="AT657" s="205"/>
      <c r="AU657" s="85"/>
      <c r="AV657" s="196"/>
      <c r="AW657" s="85"/>
      <c r="AX657" s="85"/>
      <c r="AY657" s="39"/>
      <c r="AZ657" s="7"/>
      <c r="BA657" s="62"/>
      <c r="BB657" s="7" t="s">
        <v>590</v>
      </c>
      <c r="BC657" s="7" t="s">
        <v>991</v>
      </c>
      <c r="BD657" s="7" t="s">
        <v>993</v>
      </c>
      <c r="BE657" s="7" t="s">
        <v>995</v>
      </c>
      <c r="BF657" s="39"/>
      <c r="BG657" s="7"/>
      <c r="BH657" s="62"/>
      <c r="BI657" s="7"/>
      <c r="BJ657" s="32"/>
      <c r="BK657" s="256"/>
    </row>
    <row r="658" spans="1:63" ht="23.25" customHeight="1" thickBot="1" x14ac:dyDescent="0.25">
      <c r="A658" s="62">
        <v>657</v>
      </c>
      <c r="B658" s="221"/>
      <c r="C658" s="221"/>
      <c r="D658" s="223"/>
      <c r="E658" s="54" t="s">
        <v>475</v>
      </c>
      <c r="F658" s="16">
        <v>82.642857142857139</v>
      </c>
      <c r="G658" s="8">
        <v>10.214285714285714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17">
        <v>0</v>
      </c>
      <c r="T658" s="8">
        <v>7.1428571428571423</v>
      </c>
      <c r="U658" s="8">
        <v>0</v>
      </c>
      <c r="V658" s="8">
        <v>0</v>
      </c>
      <c r="W658" s="8">
        <v>0</v>
      </c>
      <c r="X658" s="8">
        <v>0</v>
      </c>
      <c r="Y658" s="8">
        <v>0</v>
      </c>
      <c r="Z658" s="8">
        <v>0</v>
      </c>
      <c r="AA658" s="8">
        <v>0</v>
      </c>
      <c r="AB658" s="8">
        <v>0</v>
      </c>
      <c r="AC658" s="8">
        <v>0</v>
      </c>
      <c r="AD658" s="14">
        <f t="shared" si="45"/>
        <v>99.999999999999986</v>
      </c>
      <c r="AE658" s="8">
        <v>0</v>
      </c>
      <c r="AF658" s="8">
        <v>0</v>
      </c>
      <c r="AG658" s="8">
        <v>0</v>
      </c>
      <c r="AH658" s="8">
        <v>0</v>
      </c>
      <c r="AI658" s="63" t="s">
        <v>1529</v>
      </c>
      <c r="AJ658" s="64">
        <v>2</v>
      </c>
      <c r="AK658" s="93">
        <v>1323</v>
      </c>
      <c r="AL658" s="158"/>
      <c r="AM658" s="85"/>
      <c r="AN658" s="85"/>
      <c r="AO658" s="85"/>
      <c r="AP658" s="85"/>
      <c r="AQ658" s="85"/>
      <c r="AR658" s="85"/>
      <c r="AS658" s="85"/>
      <c r="AT658" s="205"/>
      <c r="AU658" s="85"/>
      <c r="AV658" s="196"/>
      <c r="AW658" s="85"/>
      <c r="AX658" s="85"/>
      <c r="AY658" s="39"/>
      <c r="AZ658" s="7"/>
      <c r="BA658" s="62"/>
      <c r="BB658" s="7">
        <v>5</v>
      </c>
      <c r="BC658" s="7">
        <v>17.8</v>
      </c>
      <c r="BD658" s="7">
        <v>210.4</v>
      </c>
      <c r="BE658" s="7">
        <v>25.1</v>
      </c>
      <c r="BF658" s="39"/>
      <c r="BG658" s="7"/>
      <c r="BH658" s="62"/>
      <c r="BI658" s="7"/>
      <c r="BJ658" s="32"/>
      <c r="BK658" s="256"/>
    </row>
    <row r="659" spans="1:63" ht="23.25" customHeight="1" thickBot="1" x14ac:dyDescent="0.25">
      <c r="A659" s="7">
        <v>658</v>
      </c>
      <c r="B659" s="221"/>
      <c r="C659" s="221"/>
      <c r="D659" s="223"/>
      <c r="E659" s="54" t="s">
        <v>478</v>
      </c>
      <c r="F659" s="16">
        <v>81.428571428571431</v>
      </c>
      <c r="G659" s="8">
        <v>11.428571428571429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17">
        <v>0</v>
      </c>
      <c r="T659" s="8">
        <v>7.1428571428571423</v>
      </c>
      <c r="U659" s="8">
        <v>0</v>
      </c>
      <c r="V659" s="8">
        <v>0</v>
      </c>
      <c r="W659" s="8">
        <v>0</v>
      </c>
      <c r="X659" s="8">
        <v>0</v>
      </c>
      <c r="Y659" s="8">
        <v>0</v>
      </c>
      <c r="Z659" s="8">
        <v>0</v>
      </c>
      <c r="AA659" s="8">
        <v>0</v>
      </c>
      <c r="AB659" s="8">
        <v>0</v>
      </c>
      <c r="AC659" s="8">
        <v>0</v>
      </c>
      <c r="AD659" s="14">
        <f t="shared" si="45"/>
        <v>100</v>
      </c>
      <c r="AE659" s="8">
        <v>0</v>
      </c>
      <c r="AF659" s="8">
        <v>0</v>
      </c>
      <c r="AG659" s="8">
        <v>0</v>
      </c>
      <c r="AH659" s="8">
        <v>0</v>
      </c>
      <c r="AI659" s="63" t="s">
        <v>1529</v>
      </c>
      <c r="AJ659" s="64">
        <v>2</v>
      </c>
      <c r="AK659" s="93">
        <v>1323</v>
      </c>
      <c r="AL659" s="158"/>
      <c r="AM659" s="85"/>
      <c r="AN659" s="85"/>
      <c r="AO659" s="85"/>
      <c r="AP659" s="85"/>
      <c r="AQ659" s="85"/>
      <c r="AR659" s="85"/>
      <c r="AS659" s="85"/>
      <c r="AT659" s="205"/>
      <c r="AU659" s="85"/>
      <c r="AV659" s="196"/>
      <c r="AW659" s="85"/>
      <c r="AX659" s="85"/>
      <c r="AY659" s="39"/>
      <c r="AZ659" s="7"/>
      <c r="BA659" s="62"/>
      <c r="BB659" s="7">
        <v>5</v>
      </c>
      <c r="BC659" s="7">
        <v>12.9</v>
      </c>
      <c r="BD659" s="7">
        <v>228.6</v>
      </c>
      <c r="BE659" s="7">
        <v>30.2</v>
      </c>
      <c r="BF659" s="39"/>
      <c r="BG659" s="7"/>
      <c r="BH659" s="62"/>
      <c r="BI659" s="7"/>
      <c r="BJ659" s="32"/>
      <c r="BK659" s="256"/>
    </row>
    <row r="660" spans="1:63" s="6" customFormat="1" ht="23.25" customHeight="1" thickBot="1" x14ac:dyDescent="0.25">
      <c r="A660" s="62">
        <v>659</v>
      </c>
      <c r="B660" s="222"/>
      <c r="C660" s="222"/>
      <c r="D660" s="224"/>
      <c r="E660" s="13" t="s">
        <v>479</v>
      </c>
      <c r="F660" s="80">
        <v>80</v>
      </c>
      <c r="G660" s="81">
        <v>12.857142857142859</v>
      </c>
      <c r="H660" s="81">
        <v>0</v>
      </c>
      <c r="I660" s="81">
        <v>0</v>
      </c>
      <c r="J660" s="81">
        <v>0</v>
      </c>
      <c r="K660" s="81">
        <v>0</v>
      </c>
      <c r="L660" s="81">
        <v>0</v>
      </c>
      <c r="M660" s="81">
        <v>0</v>
      </c>
      <c r="N660" s="81">
        <v>0</v>
      </c>
      <c r="O660" s="81">
        <v>0</v>
      </c>
      <c r="P660" s="81">
        <v>0</v>
      </c>
      <c r="Q660" s="81">
        <v>0</v>
      </c>
      <c r="R660" s="81">
        <v>0</v>
      </c>
      <c r="S660" s="82">
        <v>0</v>
      </c>
      <c r="T660" s="81">
        <v>7.1428571428571423</v>
      </c>
      <c r="U660" s="81">
        <v>0</v>
      </c>
      <c r="V660" s="81">
        <v>0</v>
      </c>
      <c r="W660" s="81">
        <v>0</v>
      </c>
      <c r="X660" s="81">
        <v>0</v>
      </c>
      <c r="Y660" s="81">
        <v>0</v>
      </c>
      <c r="Z660" s="81">
        <v>0</v>
      </c>
      <c r="AA660" s="81">
        <v>0</v>
      </c>
      <c r="AB660" s="81">
        <v>0</v>
      </c>
      <c r="AC660" s="81">
        <v>0</v>
      </c>
      <c r="AD660" s="83">
        <f t="shared" si="45"/>
        <v>100</v>
      </c>
      <c r="AE660" s="81">
        <v>0</v>
      </c>
      <c r="AF660" s="81">
        <v>0</v>
      </c>
      <c r="AG660" s="81">
        <v>0</v>
      </c>
      <c r="AH660" s="81">
        <v>0</v>
      </c>
      <c r="AI660" s="157" t="s">
        <v>1529</v>
      </c>
      <c r="AJ660" s="94">
        <v>2</v>
      </c>
      <c r="AK660" s="95">
        <v>1323</v>
      </c>
      <c r="AL660" s="200"/>
      <c r="AM660" s="190"/>
      <c r="AN660" s="190"/>
      <c r="AO660" s="190"/>
      <c r="AP660" s="190"/>
      <c r="AQ660" s="190"/>
      <c r="AR660" s="190"/>
      <c r="AS660" s="190"/>
      <c r="AT660" s="201"/>
      <c r="AU660" s="190"/>
      <c r="AV660" s="202"/>
      <c r="AW660" s="190"/>
      <c r="AX660" s="190"/>
      <c r="AY660" s="79"/>
      <c r="AZ660" s="65"/>
      <c r="BA660" s="78"/>
      <c r="BB660" s="65" t="s">
        <v>590</v>
      </c>
      <c r="BC660" s="65" t="s">
        <v>992</v>
      </c>
      <c r="BD660" s="65" t="s">
        <v>994</v>
      </c>
      <c r="BE660" s="65" t="s">
        <v>996</v>
      </c>
      <c r="BF660" s="79"/>
      <c r="BG660" s="65"/>
      <c r="BH660" s="78"/>
      <c r="BI660" s="65"/>
      <c r="BJ660" s="68"/>
      <c r="BK660" s="256"/>
    </row>
    <row r="661" spans="1:63" ht="23.25" customHeight="1" thickBot="1" x14ac:dyDescent="0.25">
      <c r="A661" s="7">
        <v>660</v>
      </c>
      <c r="B661" s="238">
        <v>644</v>
      </c>
      <c r="C661" s="238" t="s">
        <v>1820</v>
      </c>
      <c r="D661" s="225" t="s">
        <v>264</v>
      </c>
      <c r="E661" s="54" t="s">
        <v>292</v>
      </c>
      <c r="F661" s="16">
        <v>75.714285714285708</v>
      </c>
      <c r="G661" s="8">
        <v>17.142857142857142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17">
        <v>0</v>
      </c>
      <c r="T661" s="8">
        <v>7.1428571428571423</v>
      </c>
      <c r="U661" s="8">
        <v>0</v>
      </c>
      <c r="V661" s="8">
        <v>0</v>
      </c>
      <c r="W661" s="8">
        <v>0</v>
      </c>
      <c r="X661" s="8">
        <v>0</v>
      </c>
      <c r="Y661" s="8">
        <v>0</v>
      </c>
      <c r="Z661" s="8">
        <v>0</v>
      </c>
      <c r="AA661" s="8">
        <v>0</v>
      </c>
      <c r="AB661" s="8">
        <v>0</v>
      </c>
      <c r="AC661" s="8">
        <v>0</v>
      </c>
      <c r="AD661" s="14">
        <f t="shared" si="45"/>
        <v>99.999999999999986</v>
      </c>
      <c r="AE661" s="8">
        <v>0</v>
      </c>
      <c r="AF661" s="8">
        <v>0</v>
      </c>
      <c r="AG661" s="8">
        <v>0</v>
      </c>
      <c r="AH661" s="8">
        <v>0</v>
      </c>
      <c r="AI661" s="39" t="s">
        <v>1531</v>
      </c>
      <c r="AJ661" s="7">
        <v>720</v>
      </c>
      <c r="AK661" s="62">
        <v>1273</v>
      </c>
      <c r="AL661" s="158"/>
      <c r="AM661" s="85">
        <v>0</v>
      </c>
      <c r="AN661" s="85"/>
      <c r="AO661" s="85"/>
      <c r="AP661" s="85"/>
      <c r="AQ661" s="85"/>
      <c r="AR661" s="85"/>
      <c r="AS661" s="85"/>
      <c r="AT661" s="205"/>
      <c r="AU661" s="85"/>
      <c r="AV661" s="196">
        <f>SUM(AL661:AT661)</f>
        <v>0</v>
      </c>
      <c r="AW661" s="85">
        <v>11.47</v>
      </c>
      <c r="AX661" s="85"/>
      <c r="AY661" s="39">
        <v>0.01</v>
      </c>
      <c r="AZ661" s="7">
        <v>247</v>
      </c>
      <c r="BA661" s="62"/>
      <c r="BB661" s="7">
        <v>5</v>
      </c>
      <c r="BC661" s="7">
        <v>5.8</v>
      </c>
      <c r="BD661" s="7">
        <v>246.1</v>
      </c>
      <c r="BE661" s="7">
        <v>76.3</v>
      </c>
      <c r="BF661" s="39"/>
      <c r="BG661" s="7"/>
      <c r="BH661" s="62"/>
      <c r="BI661" s="7"/>
      <c r="BJ661" s="32"/>
      <c r="BK661" s="256"/>
    </row>
    <row r="662" spans="1:63" ht="23.25" customHeight="1" thickBot="1" x14ac:dyDescent="0.25">
      <c r="A662" s="62">
        <v>661</v>
      </c>
      <c r="B662" s="221"/>
      <c r="C662" s="221"/>
      <c r="D662" s="223"/>
      <c r="E662" s="54" t="s">
        <v>476</v>
      </c>
      <c r="F662" s="16">
        <v>74.285714285714292</v>
      </c>
      <c r="G662" s="8">
        <v>18.571428571428573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17">
        <v>0</v>
      </c>
      <c r="T662" s="8">
        <v>7.1428571428571423</v>
      </c>
      <c r="U662" s="8">
        <v>0</v>
      </c>
      <c r="V662" s="8">
        <v>0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  <c r="AB662" s="8">
        <v>0</v>
      </c>
      <c r="AC662" s="8">
        <v>0</v>
      </c>
      <c r="AD662" s="14">
        <f t="shared" si="45"/>
        <v>100</v>
      </c>
      <c r="AE662" s="8">
        <v>0</v>
      </c>
      <c r="AF662" s="8">
        <v>0</v>
      </c>
      <c r="AG662" s="8">
        <v>0</v>
      </c>
      <c r="AH662" s="8">
        <v>0</v>
      </c>
      <c r="AI662" s="39" t="s">
        <v>1531</v>
      </c>
      <c r="AJ662" s="7">
        <v>720</v>
      </c>
      <c r="AK662" s="62">
        <v>1273</v>
      </c>
      <c r="AL662" s="158"/>
      <c r="AM662" s="85">
        <v>0</v>
      </c>
      <c r="AN662" s="85"/>
      <c r="AO662" s="85"/>
      <c r="AP662" s="85"/>
      <c r="AQ662" s="85"/>
      <c r="AR662" s="85"/>
      <c r="AS662" s="85"/>
      <c r="AT662" s="205"/>
      <c r="AU662" s="85"/>
      <c r="AV662" s="196">
        <f>SUM(AL662:AT662)</f>
        <v>0</v>
      </c>
      <c r="AW662" s="85">
        <v>11.45</v>
      </c>
      <c r="AX662" s="85"/>
      <c r="AY662" s="39">
        <v>0.01</v>
      </c>
      <c r="AZ662" s="7">
        <v>248</v>
      </c>
      <c r="BA662" s="62"/>
      <c r="BB662" s="7">
        <v>5</v>
      </c>
      <c r="BC662" s="7">
        <v>5.9</v>
      </c>
      <c r="BD662" s="7">
        <v>246.3</v>
      </c>
      <c r="BE662" s="7">
        <v>83.7</v>
      </c>
      <c r="BF662" s="39"/>
      <c r="BG662" s="7"/>
      <c r="BH662" s="62"/>
      <c r="BI662" s="7"/>
      <c r="BJ662" s="32"/>
      <c r="BK662" s="256"/>
    </row>
    <row r="663" spans="1:63" ht="23.25" customHeight="1" thickBot="1" x14ac:dyDescent="0.25">
      <c r="A663" s="7">
        <v>662</v>
      </c>
      <c r="B663" s="222"/>
      <c r="C663" s="222"/>
      <c r="D663" s="224"/>
      <c r="E663" s="54" t="s">
        <v>477</v>
      </c>
      <c r="F663" s="16">
        <v>72.857142857142847</v>
      </c>
      <c r="G663" s="8">
        <v>20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17">
        <v>0</v>
      </c>
      <c r="T663" s="8">
        <v>7.1428571428571423</v>
      </c>
      <c r="U663" s="8">
        <v>0</v>
      </c>
      <c r="V663" s="8">
        <v>0</v>
      </c>
      <c r="W663" s="8">
        <v>0</v>
      </c>
      <c r="X663" s="8">
        <v>0</v>
      </c>
      <c r="Y663" s="8">
        <v>0</v>
      </c>
      <c r="Z663" s="8">
        <v>0</v>
      </c>
      <c r="AA663" s="8">
        <v>0</v>
      </c>
      <c r="AB663" s="8">
        <v>0</v>
      </c>
      <c r="AC663" s="8">
        <v>0</v>
      </c>
      <c r="AD663" s="14">
        <f t="shared" si="45"/>
        <v>99.999999999999986</v>
      </c>
      <c r="AE663" s="8">
        <v>0</v>
      </c>
      <c r="AF663" s="8">
        <v>0</v>
      </c>
      <c r="AG663" s="8">
        <v>0</v>
      </c>
      <c r="AH663" s="8">
        <v>0</v>
      </c>
      <c r="AI663" s="39" t="s">
        <v>1531</v>
      </c>
      <c r="AJ663" s="7">
        <v>720</v>
      </c>
      <c r="AK663" s="62">
        <v>1273</v>
      </c>
      <c r="AL663" s="158"/>
      <c r="AM663" s="85">
        <v>0</v>
      </c>
      <c r="AN663" s="85"/>
      <c r="AO663" s="85"/>
      <c r="AP663" s="85"/>
      <c r="AQ663" s="85"/>
      <c r="AR663" s="85"/>
      <c r="AS663" s="85"/>
      <c r="AT663" s="205"/>
      <c r="AU663" s="85"/>
      <c r="AV663" s="196">
        <f>SUM(AL663:AT663)</f>
        <v>0</v>
      </c>
      <c r="AW663" s="85">
        <v>11.43</v>
      </c>
      <c r="AX663" s="85"/>
      <c r="AY663" s="39">
        <v>0.01</v>
      </c>
      <c r="AZ663" s="7">
        <v>195</v>
      </c>
      <c r="BA663" s="62"/>
      <c r="BB663" s="7">
        <v>5</v>
      </c>
      <c r="BC663" s="7">
        <v>3.7</v>
      </c>
      <c r="BD663" s="7">
        <v>189.5</v>
      </c>
      <c r="BE663" s="7">
        <v>123.9</v>
      </c>
      <c r="BF663" s="39"/>
      <c r="BG663" s="7"/>
      <c r="BH663" s="62"/>
      <c r="BI663" s="7"/>
      <c r="BJ663" s="32"/>
      <c r="BK663" s="256"/>
    </row>
    <row r="664" spans="1:63" s="4" customFormat="1" ht="23.25" customHeight="1" thickBot="1" x14ac:dyDescent="0.25">
      <c r="A664" s="62">
        <v>663</v>
      </c>
      <c r="B664" s="238">
        <v>648</v>
      </c>
      <c r="C664" s="238" t="s">
        <v>1819</v>
      </c>
      <c r="D664" s="225" t="s">
        <v>264</v>
      </c>
      <c r="E664" s="12" t="s">
        <v>291</v>
      </c>
      <c r="F664" s="87">
        <v>82.142857142857139</v>
      </c>
      <c r="G664" s="88">
        <v>10.714285714285714</v>
      </c>
      <c r="H664" s="88">
        <v>0</v>
      </c>
      <c r="I664" s="88">
        <v>0</v>
      </c>
      <c r="J664" s="88">
        <v>0</v>
      </c>
      <c r="K664" s="88">
        <v>0</v>
      </c>
      <c r="L664" s="88">
        <v>0</v>
      </c>
      <c r="M664" s="88">
        <v>0</v>
      </c>
      <c r="N664" s="88">
        <v>0</v>
      </c>
      <c r="O664" s="88">
        <v>0</v>
      </c>
      <c r="P664" s="88">
        <v>0</v>
      </c>
      <c r="Q664" s="88">
        <v>0</v>
      </c>
      <c r="R664" s="88">
        <v>0</v>
      </c>
      <c r="S664" s="89">
        <v>0</v>
      </c>
      <c r="T664" s="88">
        <v>7.1428571428571423</v>
      </c>
      <c r="U664" s="88">
        <v>0</v>
      </c>
      <c r="V664" s="88">
        <v>0</v>
      </c>
      <c r="W664" s="88">
        <v>0</v>
      </c>
      <c r="X664" s="88">
        <v>0</v>
      </c>
      <c r="Y664" s="88">
        <v>0</v>
      </c>
      <c r="Z664" s="88">
        <v>0</v>
      </c>
      <c r="AA664" s="88">
        <v>0</v>
      </c>
      <c r="AB664" s="88">
        <v>0</v>
      </c>
      <c r="AC664" s="88">
        <v>0</v>
      </c>
      <c r="AD664" s="90">
        <f t="shared" si="45"/>
        <v>99.999999999999986</v>
      </c>
      <c r="AE664" s="88">
        <v>0</v>
      </c>
      <c r="AF664" s="88">
        <v>0</v>
      </c>
      <c r="AG664" s="88">
        <v>0</v>
      </c>
      <c r="AH664" s="88">
        <v>0</v>
      </c>
      <c r="AI664" s="156" t="s">
        <v>1531</v>
      </c>
      <c r="AJ664" s="45">
        <v>96</v>
      </c>
      <c r="AK664" s="91">
        <v>1243</v>
      </c>
      <c r="AL664" s="197"/>
      <c r="AM664" s="189"/>
      <c r="AN664" s="189"/>
      <c r="AO664" s="189"/>
      <c r="AP664" s="189"/>
      <c r="AQ664" s="189"/>
      <c r="AR664" s="189"/>
      <c r="AS664" s="189"/>
      <c r="AT664" s="198"/>
      <c r="AU664" s="189"/>
      <c r="AV664" s="199"/>
      <c r="AW664" s="189"/>
      <c r="AX664" s="189"/>
      <c r="AY664" s="156"/>
      <c r="AZ664" s="45">
        <v>193</v>
      </c>
      <c r="BA664" s="91"/>
      <c r="BB664" s="45"/>
      <c r="BC664" s="45"/>
      <c r="BD664" s="45"/>
      <c r="BE664" s="45"/>
      <c r="BF664" s="156"/>
      <c r="BG664" s="45"/>
      <c r="BH664" s="91"/>
      <c r="BI664" s="45"/>
      <c r="BJ664" s="67"/>
      <c r="BK664" s="256"/>
    </row>
    <row r="665" spans="1:63" ht="23.25" customHeight="1" thickBot="1" x14ac:dyDescent="0.25">
      <c r="A665" s="7">
        <v>664</v>
      </c>
      <c r="B665" s="221"/>
      <c r="C665" s="221"/>
      <c r="D665" s="223"/>
      <c r="E665" s="54" t="s">
        <v>319</v>
      </c>
      <c r="F665" s="16">
        <v>78.571428571428569</v>
      </c>
      <c r="G665" s="8">
        <v>14.285714285714285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17">
        <v>0</v>
      </c>
      <c r="T665" s="8">
        <v>7.1428571428571423</v>
      </c>
      <c r="U665" s="8">
        <v>0</v>
      </c>
      <c r="V665" s="8">
        <v>0</v>
      </c>
      <c r="W665" s="8">
        <v>0</v>
      </c>
      <c r="X665" s="8">
        <v>0</v>
      </c>
      <c r="Y665" s="8">
        <v>0</v>
      </c>
      <c r="Z665" s="8">
        <v>0</v>
      </c>
      <c r="AA665" s="8">
        <v>0</v>
      </c>
      <c r="AB665" s="8">
        <v>0</v>
      </c>
      <c r="AC665" s="8">
        <v>0</v>
      </c>
      <c r="AD665" s="14">
        <f t="shared" si="45"/>
        <v>100</v>
      </c>
      <c r="AE665" s="8">
        <v>0</v>
      </c>
      <c r="AF665" s="8">
        <v>0</v>
      </c>
      <c r="AG665" s="8">
        <v>0</v>
      </c>
      <c r="AH665" s="8">
        <v>0</v>
      </c>
      <c r="AI665" s="39" t="s">
        <v>1531</v>
      </c>
      <c r="AJ665" s="7">
        <v>96</v>
      </c>
      <c r="AK665" s="62">
        <v>1243</v>
      </c>
      <c r="AL665" s="158"/>
      <c r="AM665" s="85"/>
      <c r="AN665" s="85"/>
      <c r="AO665" s="85"/>
      <c r="AP665" s="85"/>
      <c r="AQ665" s="85"/>
      <c r="AR665" s="85"/>
      <c r="AS665" s="85"/>
      <c r="AT665" s="205"/>
      <c r="AU665" s="85"/>
      <c r="AV665" s="196"/>
      <c r="AW665" s="85"/>
      <c r="AX665" s="85"/>
      <c r="AY665" s="39"/>
      <c r="AZ665" s="7">
        <v>257</v>
      </c>
      <c r="BA665" s="62"/>
      <c r="BB665" s="7"/>
      <c r="BC665" s="7"/>
      <c r="BD665" s="7"/>
      <c r="BE665" s="7"/>
      <c r="BF665" s="39"/>
      <c r="BG665" s="7"/>
      <c r="BH665" s="62"/>
      <c r="BI665" s="7"/>
      <c r="BJ665" s="32"/>
      <c r="BK665" s="256"/>
    </row>
    <row r="666" spans="1:63" ht="23.25" customHeight="1" thickBot="1" x14ac:dyDescent="0.25">
      <c r="A666" s="62">
        <v>665</v>
      </c>
      <c r="B666" s="221"/>
      <c r="C666" s="221"/>
      <c r="D666" s="223"/>
      <c r="E666" s="54" t="s">
        <v>292</v>
      </c>
      <c r="F666" s="16">
        <v>75.714285714285708</v>
      </c>
      <c r="G666" s="8">
        <v>17.142857142857142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17">
        <v>0</v>
      </c>
      <c r="T666" s="8">
        <v>7.1428571428571423</v>
      </c>
      <c r="U666" s="8">
        <v>0</v>
      </c>
      <c r="V666" s="8">
        <v>0</v>
      </c>
      <c r="W666" s="8">
        <v>0</v>
      </c>
      <c r="X666" s="8">
        <v>0</v>
      </c>
      <c r="Y666" s="8">
        <v>0</v>
      </c>
      <c r="Z666" s="8">
        <v>0</v>
      </c>
      <c r="AA666" s="8">
        <v>0</v>
      </c>
      <c r="AB666" s="8">
        <v>0</v>
      </c>
      <c r="AC666" s="8">
        <v>0</v>
      </c>
      <c r="AD666" s="14">
        <f t="shared" si="45"/>
        <v>99.999999999999986</v>
      </c>
      <c r="AE666" s="8">
        <v>0</v>
      </c>
      <c r="AF666" s="8">
        <v>0</v>
      </c>
      <c r="AG666" s="8">
        <v>0</v>
      </c>
      <c r="AH666" s="8">
        <v>0</v>
      </c>
      <c r="AI666" s="39" t="s">
        <v>1531</v>
      </c>
      <c r="AJ666" s="7">
        <v>96</v>
      </c>
      <c r="AK666" s="62">
        <v>1243</v>
      </c>
      <c r="AL666" s="158"/>
      <c r="AM666" s="85"/>
      <c r="AN666" s="85"/>
      <c r="AO666" s="85"/>
      <c r="AP666" s="85"/>
      <c r="AQ666" s="85"/>
      <c r="AR666" s="85"/>
      <c r="AS666" s="85"/>
      <c r="AT666" s="205"/>
      <c r="AU666" s="85"/>
      <c r="AV666" s="196"/>
      <c r="AW666" s="85"/>
      <c r="AX666" s="85"/>
      <c r="AY666" s="39"/>
      <c r="AZ666" s="7">
        <v>262</v>
      </c>
      <c r="BA666" s="62"/>
      <c r="BB666" s="7"/>
      <c r="BC666" s="7"/>
      <c r="BD666" s="7"/>
      <c r="BE666" s="7"/>
      <c r="BF666" s="39"/>
      <c r="BG666" s="7"/>
      <c r="BH666" s="62"/>
      <c r="BI666" s="7"/>
      <c r="BJ666" s="32"/>
      <c r="BK666" s="256"/>
    </row>
    <row r="667" spans="1:63" ht="23.25" customHeight="1" thickBot="1" x14ac:dyDescent="0.25">
      <c r="A667" s="7">
        <v>666</v>
      </c>
      <c r="B667" s="221"/>
      <c r="C667" s="221"/>
      <c r="D667" s="223"/>
      <c r="E667" s="54" t="s">
        <v>321</v>
      </c>
      <c r="F667" s="16">
        <v>67.857142857142861</v>
      </c>
      <c r="G667" s="8">
        <v>25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17">
        <v>0</v>
      </c>
      <c r="T667" s="8">
        <v>7.1428571428571423</v>
      </c>
      <c r="U667" s="8">
        <v>0</v>
      </c>
      <c r="V667" s="8">
        <v>0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0</v>
      </c>
      <c r="AC667" s="8">
        <v>0</v>
      </c>
      <c r="AD667" s="14">
        <f t="shared" si="45"/>
        <v>100</v>
      </c>
      <c r="AE667" s="8">
        <v>0</v>
      </c>
      <c r="AF667" s="8">
        <v>0</v>
      </c>
      <c r="AG667" s="8">
        <v>0</v>
      </c>
      <c r="AH667" s="8">
        <v>0</v>
      </c>
      <c r="AI667" s="39" t="s">
        <v>1531</v>
      </c>
      <c r="AJ667" s="7">
        <v>96</v>
      </c>
      <c r="AK667" s="62">
        <v>1243</v>
      </c>
      <c r="AL667" s="158"/>
      <c r="AM667" s="85"/>
      <c r="AN667" s="85"/>
      <c r="AO667" s="85"/>
      <c r="AP667" s="85"/>
      <c r="AQ667" s="85"/>
      <c r="AR667" s="85"/>
      <c r="AS667" s="85"/>
      <c r="AT667" s="205"/>
      <c r="AU667" s="85"/>
      <c r="AV667" s="196"/>
      <c r="AW667" s="85"/>
      <c r="AX667" s="85"/>
      <c r="AY667" s="39"/>
      <c r="AZ667" s="7">
        <v>103</v>
      </c>
      <c r="BA667" s="62"/>
      <c r="BB667" s="7"/>
      <c r="BC667" s="7"/>
      <c r="BD667" s="7"/>
      <c r="BE667" s="7"/>
      <c r="BF667" s="39"/>
      <c r="BG667" s="7"/>
      <c r="BH667" s="62"/>
      <c r="BI667" s="7"/>
      <c r="BJ667" s="32"/>
      <c r="BK667" s="256"/>
    </row>
    <row r="668" spans="1:63" ht="23.25" customHeight="1" thickBot="1" x14ac:dyDescent="0.25">
      <c r="A668" s="62">
        <v>667</v>
      </c>
      <c r="B668" s="221"/>
      <c r="C668" s="221"/>
      <c r="D668" s="223"/>
      <c r="E668" s="54" t="s">
        <v>482</v>
      </c>
      <c r="F668" s="16">
        <v>64.285714285714292</v>
      </c>
      <c r="G668" s="8">
        <v>28.571428571428569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17">
        <v>0</v>
      </c>
      <c r="T668" s="8">
        <v>7.1428571428571423</v>
      </c>
      <c r="U668" s="8">
        <v>0</v>
      </c>
      <c r="V668" s="8">
        <v>0</v>
      </c>
      <c r="W668" s="8">
        <v>0</v>
      </c>
      <c r="X668" s="8">
        <v>0</v>
      </c>
      <c r="Y668" s="8">
        <v>0</v>
      </c>
      <c r="Z668" s="8">
        <v>0</v>
      </c>
      <c r="AA668" s="8">
        <v>0</v>
      </c>
      <c r="AB668" s="8">
        <v>0</v>
      </c>
      <c r="AC668" s="8">
        <v>0</v>
      </c>
      <c r="AD668" s="14">
        <f t="shared" si="45"/>
        <v>100</v>
      </c>
      <c r="AE668" s="8">
        <v>0</v>
      </c>
      <c r="AF668" s="8">
        <v>0</v>
      </c>
      <c r="AG668" s="8">
        <v>0</v>
      </c>
      <c r="AH668" s="8">
        <v>0</v>
      </c>
      <c r="AI668" s="39" t="s">
        <v>1531</v>
      </c>
      <c r="AJ668" s="7">
        <v>96</v>
      </c>
      <c r="AK668" s="62">
        <v>1243</v>
      </c>
      <c r="AL668" s="158"/>
      <c r="AM668" s="85"/>
      <c r="AN668" s="85"/>
      <c r="AO668" s="85"/>
      <c r="AP668" s="85"/>
      <c r="AQ668" s="85"/>
      <c r="AR668" s="85"/>
      <c r="AS668" s="85"/>
      <c r="AT668" s="205"/>
      <c r="AU668" s="85"/>
      <c r="AV668" s="196"/>
      <c r="AW668" s="85"/>
      <c r="AX668" s="85"/>
      <c r="AY668" s="39"/>
      <c r="AZ668" s="7">
        <v>88</v>
      </c>
      <c r="BA668" s="62"/>
      <c r="BB668" s="7"/>
      <c r="BC668" s="7"/>
      <c r="BD668" s="7"/>
      <c r="BE668" s="7"/>
      <c r="BF668" s="39"/>
      <c r="BG668" s="7"/>
      <c r="BH668" s="62"/>
      <c r="BI668" s="7"/>
      <c r="BJ668" s="32"/>
      <c r="BK668" s="256"/>
    </row>
    <row r="669" spans="1:63" ht="23.25" customHeight="1" thickBot="1" x14ac:dyDescent="0.25">
      <c r="A669" s="7">
        <v>668</v>
      </c>
      <c r="B669" s="221"/>
      <c r="C669" s="221"/>
      <c r="D669" s="223"/>
      <c r="E669" s="54" t="s">
        <v>322</v>
      </c>
      <c r="F669" s="16">
        <v>57.142857142857139</v>
      </c>
      <c r="G669" s="8">
        <v>35.714285714285715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17">
        <v>0</v>
      </c>
      <c r="T669" s="8">
        <v>7.1428571428571423</v>
      </c>
      <c r="U669" s="8">
        <v>0</v>
      </c>
      <c r="V669" s="8">
        <v>0</v>
      </c>
      <c r="W669" s="8">
        <v>0</v>
      </c>
      <c r="X669" s="8">
        <v>0</v>
      </c>
      <c r="Y669" s="8">
        <v>0</v>
      </c>
      <c r="Z669" s="8">
        <v>0</v>
      </c>
      <c r="AA669" s="8">
        <v>0</v>
      </c>
      <c r="AB669" s="8">
        <v>0</v>
      </c>
      <c r="AC669" s="8">
        <v>0</v>
      </c>
      <c r="AD669" s="14">
        <f t="shared" si="45"/>
        <v>100</v>
      </c>
      <c r="AE669" s="8">
        <v>0</v>
      </c>
      <c r="AF669" s="8">
        <v>0</v>
      </c>
      <c r="AG669" s="8">
        <v>0</v>
      </c>
      <c r="AH669" s="8">
        <v>0</v>
      </c>
      <c r="AI669" s="39" t="s">
        <v>1531</v>
      </c>
      <c r="AJ669" s="7">
        <v>96</v>
      </c>
      <c r="AK669" s="62">
        <v>1243</v>
      </c>
      <c r="AL669" s="158"/>
      <c r="AM669" s="85"/>
      <c r="AN669" s="85"/>
      <c r="AO669" s="85"/>
      <c r="AP669" s="85"/>
      <c r="AQ669" s="85"/>
      <c r="AR669" s="85"/>
      <c r="AS669" s="85"/>
      <c r="AT669" s="205"/>
      <c r="AU669" s="85"/>
      <c r="AV669" s="196"/>
      <c r="AW669" s="85"/>
      <c r="AX669" s="85"/>
      <c r="AY669" s="39"/>
      <c r="AZ669" s="7">
        <v>82</v>
      </c>
      <c r="BA669" s="62"/>
      <c r="BB669" s="7"/>
      <c r="BC669" s="7"/>
      <c r="BD669" s="7"/>
      <c r="BE669" s="7"/>
      <c r="BF669" s="39"/>
      <c r="BG669" s="7"/>
      <c r="BH669" s="62"/>
      <c r="BI669" s="7"/>
      <c r="BJ669" s="32"/>
      <c r="BK669" s="256"/>
    </row>
    <row r="670" spans="1:63" ht="23.25" customHeight="1" thickBot="1" x14ac:dyDescent="0.25">
      <c r="A670" s="62">
        <v>669</v>
      </c>
      <c r="B670" s="221"/>
      <c r="C670" s="221"/>
      <c r="D670" s="54" t="s">
        <v>173</v>
      </c>
      <c r="E670" s="54"/>
      <c r="F670" s="16">
        <f>11.5/14*100</f>
        <v>82.142857142857139</v>
      </c>
      <c r="G670" s="8">
        <f>1.5/14*100</f>
        <v>10.714285714285714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17">
        <v>0</v>
      </c>
      <c r="T670" s="8">
        <f>1/14*100</f>
        <v>7.1428571428571423</v>
      </c>
      <c r="U670" s="8">
        <v>0</v>
      </c>
      <c r="V670" s="8">
        <v>0</v>
      </c>
      <c r="W670" s="8">
        <v>0</v>
      </c>
      <c r="X670" s="8">
        <v>0</v>
      </c>
      <c r="Y670" s="8">
        <v>0</v>
      </c>
      <c r="Z670" s="8">
        <v>0</v>
      </c>
      <c r="AA670" s="8">
        <v>0</v>
      </c>
      <c r="AB670" s="8">
        <v>0</v>
      </c>
      <c r="AC670" s="8">
        <v>0</v>
      </c>
      <c r="AD670" s="14">
        <f t="shared" si="45"/>
        <v>99.999999999999986</v>
      </c>
      <c r="AE670" s="8">
        <v>0</v>
      </c>
      <c r="AF670" s="8">
        <v>0</v>
      </c>
      <c r="AG670" s="8">
        <f>1.6/14*100</f>
        <v>11.428571428571429</v>
      </c>
      <c r="AH670" s="8">
        <v>0</v>
      </c>
      <c r="AI670" s="39" t="s">
        <v>1531</v>
      </c>
      <c r="AJ670" s="7">
        <v>96</v>
      </c>
      <c r="AK670" s="62">
        <v>1243</v>
      </c>
      <c r="AL670" s="158"/>
      <c r="AM670" s="85"/>
      <c r="AN670" s="85"/>
      <c r="AO670" s="85"/>
      <c r="AP670" s="85"/>
      <c r="AQ670" s="85"/>
      <c r="AR670" s="85"/>
      <c r="AS670" s="85"/>
      <c r="AT670" s="205"/>
      <c r="AU670" s="85"/>
      <c r="AV670" s="196"/>
      <c r="AW670" s="85">
        <v>11.81</v>
      </c>
      <c r="AX670" s="85"/>
      <c r="AY670" s="39"/>
      <c r="AZ670" s="7">
        <v>273</v>
      </c>
      <c r="BA670" s="62"/>
      <c r="BB670" s="7"/>
      <c r="BC670" s="7"/>
      <c r="BD670" s="7"/>
      <c r="BE670" s="7"/>
      <c r="BF670" s="39"/>
      <c r="BG670" s="7"/>
      <c r="BH670" s="62"/>
      <c r="BI670" s="7"/>
      <c r="BJ670" s="32"/>
      <c r="BK670" s="256"/>
    </row>
    <row r="671" spans="1:63" ht="23.25" customHeight="1" thickBot="1" x14ac:dyDescent="0.25">
      <c r="A671" s="7">
        <v>670</v>
      </c>
      <c r="B671" s="221"/>
      <c r="C671" s="221"/>
      <c r="D671" s="54" t="s">
        <v>174</v>
      </c>
      <c r="E671" s="54"/>
      <c r="F671" s="16">
        <f>11.5/14*100</f>
        <v>82.142857142857139</v>
      </c>
      <c r="G671" s="8">
        <f>1.5/14*100</f>
        <v>10.714285714285714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17">
        <v>0</v>
      </c>
      <c r="T671" s="8">
        <f>1/14*100</f>
        <v>7.1428571428571423</v>
      </c>
      <c r="U671" s="8">
        <v>0</v>
      </c>
      <c r="V671" s="8">
        <v>0</v>
      </c>
      <c r="W671" s="8">
        <v>0</v>
      </c>
      <c r="X671" s="8">
        <v>0</v>
      </c>
      <c r="Y671" s="8">
        <v>0</v>
      </c>
      <c r="Z671" s="8">
        <v>0</v>
      </c>
      <c r="AA671" s="8">
        <v>0</v>
      </c>
      <c r="AB671" s="8">
        <v>0</v>
      </c>
      <c r="AC671" s="8">
        <v>0</v>
      </c>
      <c r="AD671" s="14">
        <f t="shared" si="45"/>
        <v>99.999999999999986</v>
      </c>
      <c r="AE671" s="8">
        <v>0</v>
      </c>
      <c r="AF671" s="8">
        <v>0</v>
      </c>
      <c r="AG671" s="8">
        <f>1.2/14*100</f>
        <v>8.5714285714285712</v>
      </c>
      <c r="AH671" s="8">
        <v>0</v>
      </c>
      <c r="AI671" s="39" t="s">
        <v>1531</v>
      </c>
      <c r="AJ671" s="7">
        <v>96</v>
      </c>
      <c r="AK671" s="62">
        <v>1243</v>
      </c>
      <c r="AL671" s="158"/>
      <c r="AM671" s="85"/>
      <c r="AN671" s="85"/>
      <c r="AO671" s="85"/>
      <c r="AP671" s="85"/>
      <c r="AQ671" s="85"/>
      <c r="AR671" s="85"/>
      <c r="AS671" s="85"/>
      <c r="AT671" s="205"/>
      <c r="AU671" s="85"/>
      <c r="AV671" s="196"/>
      <c r="AW671" s="85"/>
      <c r="AX671" s="85">
        <v>11.72</v>
      </c>
      <c r="AY671" s="39"/>
      <c r="AZ671" s="7">
        <v>317</v>
      </c>
      <c r="BA671" s="62"/>
      <c r="BB671" s="7"/>
      <c r="BC671" s="7"/>
      <c r="BD671" s="7"/>
      <c r="BE671" s="7"/>
      <c r="BF671" s="39"/>
      <c r="BG671" s="7"/>
      <c r="BH671" s="62"/>
      <c r="BI671" s="7"/>
      <c r="BJ671" s="32"/>
      <c r="BK671" s="256"/>
    </row>
    <row r="672" spans="1:63" s="6" customFormat="1" ht="23.25" customHeight="1" thickBot="1" x14ac:dyDescent="0.25">
      <c r="A672" s="62">
        <v>671</v>
      </c>
      <c r="B672" s="222"/>
      <c r="C672" s="222"/>
      <c r="D672" s="13" t="s">
        <v>175</v>
      </c>
      <c r="E672" s="13"/>
      <c r="F672" s="80">
        <f>10.6/14*100</f>
        <v>75.714285714285708</v>
      </c>
      <c r="G672" s="81">
        <f>2.4/14*100</f>
        <v>17.142857142857142</v>
      </c>
      <c r="H672" s="81">
        <v>0</v>
      </c>
      <c r="I672" s="81">
        <v>0</v>
      </c>
      <c r="J672" s="81">
        <v>0</v>
      </c>
      <c r="K672" s="81">
        <v>0</v>
      </c>
      <c r="L672" s="81">
        <v>0</v>
      </c>
      <c r="M672" s="81">
        <v>0</v>
      </c>
      <c r="N672" s="81">
        <v>0</v>
      </c>
      <c r="O672" s="81">
        <v>0</v>
      </c>
      <c r="P672" s="81">
        <v>0</v>
      </c>
      <c r="Q672" s="81">
        <v>0</v>
      </c>
      <c r="R672" s="81">
        <v>0</v>
      </c>
      <c r="S672" s="82">
        <v>0</v>
      </c>
      <c r="T672" s="81">
        <f>1/14*100</f>
        <v>7.1428571428571423</v>
      </c>
      <c r="U672" s="81">
        <v>0</v>
      </c>
      <c r="V672" s="81">
        <v>0</v>
      </c>
      <c r="W672" s="81">
        <v>0</v>
      </c>
      <c r="X672" s="81">
        <v>0</v>
      </c>
      <c r="Y672" s="81">
        <v>0</v>
      </c>
      <c r="Z672" s="81">
        <v>0</v>
      </c>
      <c r="AA672" s="81">
        <v>0</v>
      </c>
      <c r="AB672" s="81">
        <v>0</v>
      </c>
      <c r="AC672" s="81">
        <v>0</v>
      </c>
      <c r="AD672" s="83">
        <f t="shared" si="45"/>
        <v>99.999999999999986</v>
      </c>
      <c r="AE672" s="81">
        <v>0</v>
      </c>
      <c r="AF672" s="81">
        <v>0</v>
      </c>
      <c r="AG672" s="81">
        <f>1.2/14*100</f>
        <v>8.5714285714285712</v>
      </c>
      <c r="AH672" s="81">
        <v>0</v>
      </c>
      <c r="AI672" s="79" t="s">
        <v>1531</v>
      </c>
      <c r="AJ672" s="65">
        <v>96</v>
      </c>
      <c r="AK672" s="78">
        <v>1243</v>
      </c>
      <c r="AL672" s="200"/>
      <c r="AM672" s="190"/>
      <c r="AN672" s="190"/>
      <c r="AO672" s="190"/>
      <c r="AP672" s="190"/>
      <c r="AQ672" s="190"/>
      <c r="AR672" s="190"/>
      <c r="AS672" s="190"/>
      <c r="AT672" s="201"/>
      <c r="AU672" s="190"/>
      <c r="AV672" s="202"/>
      <c r="AW672" s="190"/>
      <c r="AX672" s="190">
        <v>11.66</v>
      </c>
      <c r="AY672" s="79"/>
      <c r="AZ672" s="65">
        <v>314</v>
      </c>
      <c r="BA672" s="78"/>
      <c r="BB672" s="65"/>
      <c r="BC672" s="65"/>
      <c r="BD672" s="65"/>
      <c r="BE672" s="65"/>
      <c r="BF672" s="79"/>
      <c r="BG672" s="65"/>
      <c r="BH672" s="78"/>
      <c r="BI672" s="65"/>
      <c r="BJ672" s="68"/>
      <c r="BK672" s="256"/>
    </row>
    <row r="673" spans="1:63" ht="23.25" customHeight="1" thickBot="1" x14ac:dyDescent="0.25">
      <c r="A673" s="7">
        <v>672</v>
      </c>
      <c r="B673" s="238">
        <v>653</v>
      </c>
      <c r="C673" s="238" t="s">
        <v>1818</v>
      </c>
      <c r="D673" s="225" t="s">
        <v>176</v>
      </c>
      <c r="E673" s="54" t="s">
        <v>241</v>
      </c>
      <c r="F673" s="16">
        <v>81.714285714285708</v>
      </c>
      <c r="G673" s="8">
        <v>0</v>
      </c>
      <c r="H673" s="8">
        <v>11.142857142857142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17">
        <v>0</v>
      </c>
      <c r="T673" s="8">
        <v>7.1428571428571423</v>
      </c>
      <c r="U673" s="8">
        <v>0</v>
      </c>
      <c r="V673" s="8">
        <v>0</v>
      </c>
      <c r="W673" s="8">
        <v>0</v>
      </c>
      <c r="X673" s="8">
        <v>0</v>
      </c>
      <c r="Y673" s="8">
        <v>0</v>
      </c>
      <c r="Z673" s="8">
        <v>0</v>
      </c>
      <c r="AA673" s="8">
        <v>0</v>
      </c>
      <c r="AB673" s="8">
        <v>0</v>
      </c>
      <c r="AC673" s="8">
        <v>0</v>
      </c>
      <c r="AD673" s="14">
        <f t="shared" si="45"/>
        <v>99.999999999999986</v>
      </c>
      <c r="AE673" s="8">
        <v>0</v>
      </c>
      <c r="AF673" s="8">
        <v>0</v>
      </c>
      <c r="AG673" s="8">
        <v>0</v>
      </c>
      <c r="AH673" s="8">
        <v>0</v>
      </c>
      <c r="AI673" s="39" t="s">
        <v>1531</v>
      </c>
      <c r="AJ673" s="7">
        <v>360</v>
      </c>
      <c r="AK673" s="62">
        <v>1273</v>
      </c>
      <c r="AL673" s="158"/>
      <c r="AM673" s="85"/>
      <c r="AN673" s="85"/>
      <c r="AO673" s="85"/>
      <c r="AP673" s="85"/>
      <c r="AQ673" s="85"/>
      <c r="AR673" s="85"/>
      <c r="AS673" s="85"/>
      <c r="AT673" s="205"/>
      <c r="AU673" s="85"/>
      <c r="AV673" s="196"/>
      <c r="AW673" s="85">
        <v>11.590999999999999</v>
      </c>
      <c r="AX673" s="85"/>
      <c r="AY673" s="39"/>
      <c r="AZ673" s="7">
        <v>197</v>
      </c>
      <c r="BA673" s="62"/>
      <c r="BB673" s="7"/>
      <c r="BC673" s="7"/>
      <c r="BD673" s="7"/>
      <c r="BE673" s="7"/>
      <c r="BF673" s="39"/>
      <c r="BG673" s="7"/>
      <c r="BH673" s="62"/>
      <c r="BI673" s="7"/>
      <c r="BJ673" s="32"/>
      <c r="BK673" s="256"/>
    </row>
    <row r="674" spans="1:63" ht="23.25" customHeight="1" thickBot="1" x14ac:dyDescent="0.25">
      <c r="A674" s="62">
        <v>673</v>
      </c>
      <c r="B674" s="221"/>
      <c r="C674" s="221"/>
      <c r="D674" s="223"/>
      <c r="E674" s="54" t="s">
        <v>249</v>
      </c>
      <c r="F674" s="16">
        <v>81.714285714285708</v>
      </c>
      <c r="G674" s="8">
        <v>0</v>
      </c>
      <c r="H674" s="8">
        <v>11.142857142857142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17">
        <v>0</v>
      </c>
      <c r="T674" s="8">
        <v>7.1428571428571423</v>
      </c>
      <c r="U674" s="8">
        <v>0</v>
      </c>
      <c r="V674" s="8">
        <v>0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  <c r="AD674" s="14">
        <f t="shared" si="45"/>
        <v>99.999999999999986</v>
      </c>
      <c r="AE674" s="8">
        <v>0</v>
      </c>
      <c r="AF674" s="8">
        <f>0.2/14*100</f>
        <v>1.4285714285714286</v>
      </c>
      <c r="AG674" s="8">
        <v>0</v>
      </c>
      <c r="AH674" s="8">
        <v>0</v>
      </c>
      <c r="AI674" s="39" t="s">
        <v>1531</v>
      </c>
      <c r="AJ674" s="7">
        <v>360</v>
      </c>
      <c r="AK674" s="62">
        <v>1273</v>
      </c>
      <c r="AL674" s="158"/>
      <c r="AM674" s="85"/>
      <c r="AN674" s="85"/>
      <c r="AO674" s="85"/>
      <c r="AP674" s="85"/>
      <c r="AQ674" s="85"/>
      <c r="AR674" s="85"/>
      <c r="AS674" s="85"/>
      <c r="AT674" s="205"/>
      <c r="AU674" s="85"/>
      <c r="AV674" s="196"/>
      <c r="AW674" s="85">
        <v>11.624000000000001</v>
      </c>
      <c r="AX674" s="85"/>
      <c r="AY674" s="39"/>
      <c r="AZ674" s="7">
        <v>224</v>
      </c>
      <c r="BA674" s="62"/>
      <c r="BB674" s="7"/>
      <c r="BC674" s="7"/>
      <c r="BD674" s="7"/>
      <c r="BE674" s="7"/>
      <c r="BF674" s="39"/>
      <c r="BG674" s="7"/>
      <c r="BH674" s="62"/>
      <c r="BI674" s="7"/>
      <c r="BJ674" s="32"/>
      <c r="BK674" s="256"/>
    </row>
    <row r="675" spans="1:63" ht="23.25" customHeight="1" thickBot="1" x14ac:dyDescent="0.25">
      <c r="A675" s="7">
        <v>674</v>
      </c>
      <c r="B675" s="221"/>
      <c r="C675" s="221"/>
      <c r="D675" s="223"/>
      <c r="E675" s="54" t="s">
        <v>243</v>
      </c>
      <c r="F675" s="16">
        <v>81.714285714285708</v>
      </c>
      <c r="G675" s="8">
        <v>0</v>
      </c>
      <c r="H675" s="8">
        <v>11.142857142857142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>
        <v>0</v>
      </c>
      <c r="S675" s="17">
        <v>0</v>
      </c>
      <c r="T675" s="8">
        <v>7.1428571428571423</v>
      </c>
      <c r="U675" s="8">
        <v>0</v>
      </c>
      <c r="V675" s="8">
        <v>0</v>
      </c>
      <c r="W675" s="8">
        <v>0</v>
      </c>
      <c r="X675" s="8">
        <v>0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  <c r="AD675" s="14">
        <f t="shared" si="45"/>
        <v>99.999999999999986</v>
      </c>
      <c r="AE675" s="8">
        <v>0</v>
      </c>
      <c r="AF675" s="8">
        <f>0.4/14*100</f>
        <v>2.8571428571428572</v>
      </c>
      <c r="AG675" s="8">
        <v>0</v>
      </c>
      <c r="AH675" s="8">
        <v>0</v>
      </c>
      <c r="AI675" s="39" t="s">
        <v>1531</v>
      </c>
      <c r="AJ675" s="7">
        <v>360</v>
      </c>
      <c r="AK675" s="62">
        <v>1273</v>
      </c>
      <c r="AL675" s="158"/>
      <c r="AM675" s="85"/>
      <c r="AN675" s="85"/>
      <c r="AO675" s="85"/>
      <c r="AP675" s="85"/>
      <c r="AQ675" s="85"/>
      <c r="AR675" s="85"/>
      <c r="AS675" s="85"/>
      <c r="AT675" s="205"/>
      <c r="AU675" s="85"/>
      <c r="AV675" s="196"/>
      <c r="AW675" s="85">
        <v>11.65</v>
      </c>
      <c r="AX675" s="85"/>
      <c r="AY675" s="39"/>
      <c r="AZ675" s="7">
        <v>250.3</v>
      </c>
      <c r="BA675" s="62"/>
      <c r="BB675" s="7"/>
      <c r="BC675" s="7"/>
      <c r="BD675" s="7"/>
      <c r="BE675" s="7"/>
      <c r="BF675" s="39"/>
      <c r="BG675" s="7"/>
      <c r="BH675" s="62"/>
      <c r="BI675" s="7"/>
      <c r="BJ675" s="32"/>
      <c r="BK675" s="256"/>
    </row>
    <row r="676" spans="1:63" ht="23.25" customHeight="1" thickBot="1" x14ac:dyDescent="0.25">
      <c r="A676" s="62">
        <v>675</v>
      </c>
      <c r="B676" s="221"/>
      <c r="C676" s="221"/>
      <c r="D676" s="223"/>
      <c r="E676" s="54" t="s">
        <v>245</v>
      </c>
      <c r="F676" s="16">
        <v>81.714285714285708</v>
      </c>
      <c r="G676" s="8">
        <v>0</v>
      </c>
      <c r="H676" s="8">
        <v>11.142857142857142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17">
        <v>0</v>
      </c>
      <c r="T676" s="8">
        <v>7.1428571428571423</v>
      </c>
      <c r="U676" s="8">
        <v>0</v>
      </c>
      <c r="V676" s="8">
        <v>0</v>
      </c>
      <c r="W676" s="8">
        <v>0</v>
      </c>
      <c r="X676" s="8">
        <v>0</v>
      </c>
      <c r="Y676" s="8">
        <v>0</v>
      </c>
      <c r="Z676" s="8">
        <v>0</v>
      </c>
      <c r="AA676" s="8">
        <v>0</v>
      </c>
      <c r="AB676" s="8">
        <v>0</v>
      </c>
      <c r="AC676" s="8">
        <v>0</v>
      </c>
      <c r="AD676" s="14">
        <f t="shared" si="45"/>
        <v>99.999999999999986</v>
      </c>
      <c r="AE676" s="8">
        <v>0</v>
      </c>
      <c r="AF676" s="8">
        <f>0.6/14*100</f>
        <v>4.2857142857142856</v>
      </c>
      <c r="AG676" s="8">
        <v>0</v>
      </c>
      <c r="AH676" s="8">
        <v>0</v>
      </c>
      <c r="AI676" s="39" t="s">
        <v>1531</v>
      </c>
      <c r="AJ676" s="7">
        <v>360</v>
      </c>
      <c r="AK676" s="62">
        <v>1273</v>
      </c>
      <c r="AL676" s="158"/>
      <c r="AM676" s="85">
        <v>5.4</v>
      </c>
      <c r="AN676" s="85"/>
      <c r="AO676" s="85"/>
      <c r="AP676" s="85"/>
      <c r="AQ676" s="85"/>
      <c r="AR676" s="85"/>
      <c r="AS676" s="85"/>
      <c r="AT676" s="205"/>
      <c r="AU676" s="85">
        <v>1</v>
      </c>
      <c r="AV676" s="196">
        <f>SUM(AL676:AT676)</f>
        <v>5.4</v>
      </c>
      <c r="AW676" s="85">
        <v>11.66</v>
      </c>
      <c r="AX676" s="85"/>
      <c r="AY676" s="39"/>
      <c r="AZ676" s="7">
        <v>264.7</v>
      </c>
      <c r="BA676" s="62"/>
      <c r="BB676" s="7"/>
      <c r="BC676" s="7"/>
      <c r="BD676" s="7"/>
      <c r="BE676" s="7"/>
      <c r="BF676" s="39"/>
      <c r="BG676" s="7"/>
      <c r="BH676" s="62"/>
      <c r="BI676" s="7"/>
      <c r="BJ676" s="32"/>
      <c r="BK676" s="256"/>
    </row>
    <row r="677" spans="1:63" ht="23.25" customHeight="1" thickBot="1" x14ac:dyDescent="0.25">
      <c r="A677" s="7">
        <v>676</v>
      </c>
      <c r="B677" s="222"/>
      <c r="C677" s="222"/>
      <c r="D677" s="224"/>
      <c r="E677" s="54" t="s">
        <v>267</v>
      </c>
      <c r="F677" s="16">
        <v>81.714285714285708</v>
      </c>
      <c r="G677" s="8">
        <v>0</v>
      </c>
      <c r="H677" s="8">
        <v>11.142857142857142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17">
        <v>0</v>
      </c>
      <c r="T677" s="8">
        <v>7.1428571428571423</v>
      </c>
      <c r="U677" s="8">
        <v>0</v>
      </c>
      <c r="V677" s="8">
        <v>0</v>
      </c>
      <c r="W677" s="8">
        <v>0</v>
      </c>
      <c r="X677" s="8">
        <v>0</v>
      </c>
      <c r="Y677" s="8">
        <v>0</v>
      </c>
      <c r="Z677" s="8">
        <v>0</v>
      </c>
      <c r="AA677" s="8">
        <v>0</v>
      </c>
      <c r="AB677" s="8">
        <v>0</v>
      </c>
      <c r="AC677" s="8">
        <v>0</v>
      </c>
      <c r="AD677" s="14">
        <f t="shared" si="45"/>
        <v>99.999999999999986</v>
      </c>
      <c r="AE677" s="8">
        <v>0</v>
      </c>
      <c r="AF677" s="8">
        <f>0.8/14*100</f>
        <v>5.7142857142857144</v>
      </c>
      <c r="AG677" s="8">
        <v>0</v>
      </c>
      <c r="AH677" s="8">
        <v>0</v>
      </c>
      <c r="AI677" s="39" t="s">
        <v>1531</v>
      </c>
      <c r="AJ677" s="7">
        <v>360</v>
      </c>
      <c r="AK677" s="62">
        <v>1273</v>
      </c>
      <c r="AL677" s="158"/>
      <c r="AM677" s="85">
        <v>9.6</v>
      </c>
      <c r="AN677" s="85"/>
      <c r="AO677" s="85"/>
      <c r="AP677" s="85"/>
      <c r="AQ677" s="85"/>
      <c r="AR677" s="85"/>
      <c r="AS677" s="85"/>
      <c r="AT677" s="205"/>
      <c r="AU677" s="85">
        <v>1</v>
      </c>
      <c r="AV677" s="196">
        <f>SUM(AL677:AT677)</f>
        <v>9.6</v>
      </c>
      <c r="AW677" s="85">
        <v>11.675000000000001</v>
      </c>
      <c r="AX677" s="85"/>
      <c r="AY677" s="39"/>
      <c r="AZ677" s="7">
        <v>279</v>
      </c>
      <c r="BA677" s="62"/>
      <c r="BB677" s="7"/>
      <c r="BC677" s="7"/>
      <c r="BD677" s="7"/>
      <c r="BE677" s="7"/>
      <c r="BF677" s="39"/>
      <c r="BG677" s="7"/>
      <c r="BH677" s="62"/>
      <c r="BI677" s="7"/>
      <c r="BJ677" s="32"/>
      <c r="BK677" s="256"/>
    </row>
    <row r="678" spans="1:63" s="4" customFormat="1" ht="23.25" customHeight="1" thickBot="1" x14ac:dyDescent="0.25">
      <c r="A678" s="62">
        <v>677</v>
      </c>
      <c r="B678" s="238" t="s">
        <v>516</v>
      </c>
      <c r="C678" s="238" t="s">
        <v>1854</v>
      </c>
      <c r="D678" s="225" t="s">
        <v>461</v>
      </c>
      <c r="E678" s="12" t="s">
        <v>334</v>
      </c>
      <c r="F678" s="87">
        <v>81.428571428571431</v>
      </c>
      <c r="G678" s="88">
        <v>11.428571428571429</v>
      </c>
      <c r="H678" s="88">
        <v>0</v>
      </c>
      <c r="I678" s="88">
        <v>0</v>
      </c>
      <c r="J678" s="88">
        <v>0</v>
      </c>
      <c r="K678" s="88">
        <v>0</v>
      </c>
      <c r="L678" s="88">
        <v>0</v>
      </c>
      <c r="M678" s="88">
        <v>0</v>
      </c>
      <c r="N678" s="88">
        <v>0</v>
      </c>
      <c r="O678" s="88">
        <v>0</v>
      </c>
      <c r="P678" s="88">
        <v>0</v>
      </c>
      <c r="Q678" s="88">
        <v>0</v>
      </c>
      <c r="R678" s="88">
        <v>0</v>
      </c>
      <c r="S678" s="89">
        <v>0</v>
      </c>
      <c r="T678" s="88">
        <v>7.1428571428571423</v>
      </c>
      <c r="U678" s="88">
        <v>0</v>
      </c>
      <c r="V678" s="88">
        <v>0</v>
      </c>
      <c r="W678" s="88">
        <v>0</v>
      </c>
      <c r="X678" s="88">
        <v>0</v>
      </c>
      <c r="Y678" s="88">
        <v>0</v>
      </c>
      <c r="Z678" s="88">
        <v>0</v>
      </c>
      <c r="AA678" s="88">
        <v>0</v>
      </c>
      <c r="AB678" s="88">
        <v>0</v>
      </c>
      <c r="AC678" s="88">
        <v>0</v>
      </c>
      <c r="AD678" s="90">
        <f t="shared" si="45"/>
        <v>100</v>
      </c>
      <c r="AE678" s="88">
        <v>0</v>
      </c>
      <c r="AF678" s="88">
        <v>0</v>
      </c>
      <c r="AG678" s="88">
        <v>0</v>
      </c>
      <c r="AH678" s="88">
        <v>0</v>
      </c>
      <c r="AI678" s="156" t="s">
        <v>1531</v>
      </c>
      <c r="AJ678" s="45">
        <v>360</v>
      </c>
      <c r="AK678" s="91">
        <v>1273</v>
      </c>
      <c r="AL678" s="197"/>
      <c r="AM678" s="189"/>
      <c r="AN678" s="189"/>
      <c r="AO678" s="189"/>
      <c r="AP678" s="189"/>
      <c r="AQ678" s="189"/>
      <c r="AR678" s="189"/>
      <c r="AS678" s="189"/>
      <c r="AT678" s="198"/>
      <c r="AU678" s="189"/>
      <c r="AV678" s="199"/>
      <c r="AW678" s="189">
        <v>11.473000000000001</v>
      </c>
      <c r="AX678" s="189"/>
      <c r="AY678" s="156"/>
      <c r="AZ678" s="45">
        <v>202.8</v>
      </c>
      <c r="BA678" s="91"/>
      <c r="BB678" s="45"/>
      <c r="BC678" s="45"/>
      <c r="BD678" s="45"/>
      <c r="BE678" s="45"/>
      <c r="BF678" s="156"/>
      <c r="BG678" s="45"/>
      <c r="BH678" s="91"/>
      <c r="BI678" s="45"/>
      <c r="BJ678" s="67"/>
      <c r="BK678" s="256"/>
    </row>
    <row r="679" spans="1:63" ht="23.25" customHeight="1" thickBot="1" x14ac:dyDescent="0.25">
      <c r="A679" s="7">
        <v>678</v>
      </c>
      <c r="B679" s="221"/>
      <c r="C679" s="221"/>
      <c r="D679" s="223"/>
      <c r="E679" s="54" t="s">
        <v>356</v>
      </c>
      <c r="F679" s="16">
        <v>79.800000000000011</v>
      </c>
      <c r="G679" s="8">
        <v>11.428571428571429</v>
      </c>
      <c r="H679" s="8">
        <v>0</v>
      </c>
      <c r="I679" s="8">
        <v>0</v>
      </c>
      <c r="J679" s="8">
        <v>1.6285714285714286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17">
        <v>0</v>
      </c>
      <c r="T679" s="8">
        <v>7.1428571428571423</v>
      </c>
      <c r="U679" s="8">
        <v>0</v>
      </c>
      <c r="V679" s="8">
        <v>0</v>
      </c>
      <c r="W679" s="8">
        <v>0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  <c r="AD679" s="14">
        <f t="shared" si="45"/>
        <v>100.00000000000001</v>
      </c>
      <c r="AE679" s="8">
        <v>0</v>
      </c>
      <c r="AF679" s="8">
        <v>0</v>
      </c>
      <c r="AG679" s="8">
        <v>0</v>
      </c>
      <c r="AH679" s="8">
        <v>0</v>
      </c>
      <c r="AI679" s="39" t="s">
        <v>1531</v>
      </c>
      <c r="AJ679" s="7">
        <v>360</v>
      </c>
      <c r="AK679" s="62">
        <v>1273</v>
      </c>
      <c r="AL679" s="158"/>
      <c r="AM679" s="85"/>
      <c r="AN679" s="85"/>
      <c r="AO679" s="85"/>
      <c r="AP679" s="85"/>
      <c r="AQ679" s="85"/>
      <c r="AR679" s="85"/>
      <c r="AS679" s="85"/>
      <c r="AT679" s="205"/>
      <c r="AU679" s="85"/>
      <c r="AV679" s="196"/>
      <c r="AW679" s="85">
        <v>11.474</v>
      </c>
      <c r="AX679" s="85"/>
      <c r="AY679" s="39"/>
      <c r="AZ679" s="7">
        <v>228</v>
      </c>
      <c r="BA679" s="62"/>
      <c r="BB679" s="7" t="s">
        <v>997</v>
      </c>
      <c r="BC679" s="7" t="s">
        <v>998</v>
      </c>
      <c r="BD679" s="7" t="s">
        <v>1000</v>
      </c>
      <c r="BE679" s="7" t="s">
        <v>1003</v>
      </c>
      <c r="BF679" s="39"/>
      <c r="BG679" s="7"/>
      <c r="BH679" s="62"/>
      <c r="BI679" s="7"/>
      <c r="BJ679" s="32"/>
      <c r="BK679" s="256"/>
    </row>
    <row r="680" spans="1:63" ht="23.25" customHeight="1" thickBot="1" x14ac:dyDescent="0.25">
      <c r="A680" s="62">
        <v>679</v>
      </c>
      <c r="B680" s="221"/>
      <c r="C680" s="221"/>
      <c r="D680" s="223"/>
      <c r="E680" s="54" t="s">
        <v>305</v>
      </c>
      <c r="F680" s="16">
        <v>78.171428571428564</v>
      </c>
      <c r="G680" s="8">
        <v>11.428571428571431</v>
      </c>
      <c r="H680" s="8">
        <v>0</v>
      </c>
      <c r="I680" s="8">
        <v>0</v>
      </c>
      <c r="J680" s="8">
        <v>3.2571428571428576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>
        <v>0</v>
      </c>
      <c r="S680" s="17">
        <v>0</v>
      </c>
      <c r="T680" s="8">
        <v>7.1428571428571441</v>
      </c>
      <c r="U680" s="8">
        <v>0</v>
      </c>
      <c r="V680" s="8">
        <v>0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14">
        <f t="shared" si="45"/>
        <v>99.999999999999986</v>
      </c>
      <c r="AE680" s="8">
        <v>0</v>
      </c>
      <c r="AF680" s="8">
        <v>0</v>
      </c>
      <c r="AG680" s="8">
        <v>0</v>
      </c>
      <c r="AH680" s="8">
        <v>0</v>
      </c>
      <c r="AI680" s="39" t="s">
        <v>1531</v>
      </c>
      <c r="AJ680" s="7">
        <v>360</v>
      </c>
      <c r="AK680" s="62">
        <v>1273</v>
      </c>
      <c r="AL680" s="158"/>
      <c r="AM680" s="85"/>
      <c r="AN680" s="85"/>
      <c r="AO680" s="85"/>
      <c r="AP680" s="85"/>
      <c r="AQ680" s="85"/>
      <c r="AR680" s="85"/>
      <c r="AS680" s="85"/>
      <c r="AT680" s="205"/>
      <c r="AU680" s="85"/>
      <c r="AV680" s="196"/>
      <c r="AW680" s="85">
        <v>11.476000000000001</v>
      </c>
      <c r="AX680" s="85"/>
      <c r="AY680" s="39"/>
      <c r="AZ680" s="7">
        <v>255.6</v>
      </c>
      <c r="BA680" s="62"/>
      <c r="BB680" s="7"/>
      <c r="BC680" s="7"/>
      <c r="BD680" s="7"/>
      <c r="BE680" s="7"/>
      <c r="BF680" s="39"/>
      <c r="BG680" s="7"/>
      <c r="BH680" s="62"/>
      <c r="BI680" s="7"/>
      <c r="BJ680" s="32"/>
      <c r="BK680" s="256"/>
    </row>
    <row r="681" spans="1:63" ht="23.25" customHeight="1" thickBot="1" x14ac:dyDescent="0.25">
      <c r="A681" s="7">
        <v>680</v>
      </c>
      <c r="B681" s="221"/>
      <c r="C681" s="221"/>
      <c r="D681" s="223"/>
      <c r="E681" s="54" t="s">
        <v>307</v>
      </c>
      <c r="F681" s="16">
        <v>76.542857142857144</v>
      </c>
      <c r="G681" s="8">
        <v>11.428571428571431</v>
      </c>
      <c r="H681" s="8">
        <v>0</v>
      </c>
      <c r="I681" s="8">
        <v>0</v>
      </c>
      <c r="J681" s="8">
        <v>4.8857142857142852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17">
        <v>0</v>
      </c>
      <c r="T681" s="8">
        <v>7.1428571428571441</v>
      </c>
      <c r="U681" s="8">
        <v>0</v>
      </c>
      <c r="V681" s="8">
        <v>0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14">
        <f t="shared" si="45"/>
        <v>100</v>
      </c>
      <c r="AE681" s="8">
        <v>0</v>
      </c>
      <c r="AF681" s="8">
        <v>0</v>
      </c>
      <c r="AG681" s="8">
        <v>0</v>
      </c>
      <c r="AH681" s="8">
        <v>0</v>
      </c>
      <c r="AI681" s="39" t="s">
        <v>1531</v>
      </c>
      <c r="AJ681" s="7">
        <v>360</v>
      </c>
      <c r="AK681" s="62">
        <v>1273</v>
      </c>
      <c r="AL681" s="158"/>
      <c r="AM681" s="85"/>
      <c r="AN681" s="85"/>
      <c r="AO681" s="85"/>
      <c r="AP681" s="85"/>
      <c r="AQ681" s="85"/>
      <c r="AR681" s="85"/>
      <c r="AS681" s="85"/>
      <c r="AT681" s="205"/>
      <c r="AU681" s="85"/>
      <c r="AV681" s="196"/>
      <c r="AW681" s="85">
        <v>11.473000000000001</v>
      </c>
      <c r="AX681" s="85"/>
      <c r="AY681" s="39"/>
      <c r="AZ681" s="7">
        <v>279.39999999999998</v>
      </c>
      <c r="BA681" s="62"/>
      <c r="BB681" s="7" t="s">
        <v>997</v>
      </c>
      <c r="BC681" s="7" t="s">
        <v>999</v>
      </c>
      <c r="BD681" s="7" t="s">
        <v>1001</v>
      </c>
      <c r="BE681" s="7" t="s">
        <v>1002</v>
      </c>
      <c r="BF681" s="39"/>
      <c r="BG681" s="7"/>
      <c r="BH681" s="62"/>
      <c r="BI681" s="7"/>
      <c r="BJ681" s="32"/>
      <c r="BK681" s="256"/>
    </row>
    <row r="682" spans="1:63" ht="23.25" customHeight="1" thickBot="1" x14ac:dyDescent="0.25">
      <c r="A682" s="62">
        <v>681</v>
      </c>
      <c r="B682" s="221"/>
      <c r="C682" s="221"/>
      <c r="D682" s="223"/>
      <c r="E682" s="54" t="s">
        <v>308</v>
      </c>
      <c r="F682" s="16">
        <v>74.914285714285711</v>
      </c>
      <c r="G682" s="8">
        <v>11.428571428571429</v>
      </c>
      <c r="H682" s="8">
        <v>0</v>
      </c>
      <c r="I682" s="8">
        <v>0</v>
      </c>
      <c r="J682" s="8">
        <v>6.5142857142857142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17">
        <v>0</v>
      </c>
      <c r="T682" s="8">
        <v>7.1428571428571423</v>
      </c>
      <c r="U682" s="8">
        <v>0</v>
      </c>
      <c r="V682" s="8">
        <v>0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  <c r="AB682" s="8">
        <v>0</v>
      </c>
      <c r="AC682" s="8">
        <v>0</v>
      </c>
      <c r="AD682" s="14">
        <f t="shared" si="45"/>
        <v>100</v>
      </c>
      <c r="AE682" s="8">
        <v>0</v>
      </c>
      <c r="AF682" s="8">
        <v>0</v>
      </c>
      <c r="AG682" s="8">
        <v>0</v>
      </c>
      <c r="AH682" s="8">
        <v>0</v>
      </c>
      <c r="AI682" s="39" t="s">
        <v>1531</v>
      </c>
      <c r="AJ682" s="7">
        <v>360</v>
      </c>
      <c r="AK682" s="62">
        <v>1273</v>
      </c>
      <c r="AL682" s="158"/>
      <c r="AM682" s="85"/>
      <c r="AN682" s="85"/>
      <c r="AO682" s="85"/>
      <c r="AP682" s="85"/>
      <c r="AQ682" s="85"/>
      <c r="AR682" s="85"/>
      <c r="AS682" s="85"/>
      <c r="AT682" s="205"/>
      <c r="AU682" s="85"/>
      <c r="AV682" s="196"/>
      <c r="AW682" s="85"/>
      <c r="AX682" s="85">
        <v>11.474</v>
      </c>
      <c r="AY682" s="39"/>
      <c r="AZ682" s="7">
        <v>304.10000000000002</v>
      </c>
      <c r="BA682" s="62"/>
      <c r="BB682" s="7"/>
      <c r="BC682" s="7"/>
      <c r="BD682" s="7"/>
      <c r="BE682" s="7"/>
      <c r="BF682" s="39"/>
      <c r="BG682" s="7"/>
      <c r="BH682" s="62"/>
      <c r="BI682" s="7"/>
      <c r="BJ682" s="32"/>
      <c r="BK682" s="256"/>
    </row>
    <row r="683" spans="1:63" s="6" customFormat="1" ht="23.25" customHeight="1" thickBot="1" x14ac:dyDescent="0.25">
      <c r="A683" s="7">
        <v>682</v>
      </c>
      <c r="B683" s="222"/>
      <c r="C683" s="222"/>
      <c r="D683" s="224"/>
      <c r="E683" s="13" t="s">
        <v>339</v>
      </c>
      <c r="F683" s="80">
        <v>73.285714285714292</v>
      </c>
      <c r="G683" s="81">
        <v>11.428571428571429</v>
      </c>
      <c r="H683" s="81">
        <v>0</v>
      </c>
      <c r="I683" s="81">
        <v>0</v>
      </c>
      <c r="J683" s="81">
        <v>8.1428571428571441</v>
      </c>
      <c r="K683" s="81">
        <v>0</v>
      </c>
      <c r="L683" s="81">
        <v>0</v>
      </c>
      <c r="M683" s="81">
        <v>0</v>
      </c>
      <c r="N683" s="81">
        <v>0</v>
      </c>
      <c r="O683" s="81">
        <v>0</v>
      </c>
      <c r="P683" s="81">
        <v>0</v>
      </c>
      <c r="Q683" s="81">
        <v>0</v>
      </c>
      <c r="R683" s="81">
        <v>0</v>
      </c>
      <c r="S683" s="82">
        <v>0</v>
      </c>
      <c r="T683" s="81">
        <v>7.1428571428571423</v>
      </c>
      <c r="U683" s="81">
        <v>0</v>
      </c>
      <c r="V683" s="81">
        <v>0</v>
      </c>
      <c r="W683" s="81">
        <v>0</v>
      </c>
      <c r="X683" s="81">
        <v>0</v>
      </c>
      <c r="Y683" s="81">
        <v>0</v>
      </c>
      <c r="Z683" s="81">
        <v>0</v>
      </c>
      <c r="AA683" s="81">
        <v>0</v>
      </c>
      <c r="AB683" s="81">
        <v>0</v>
      </c>
      <c r="AC683" s="81">
        <v>0</v>
      </c>
      <c r="AD683" s="83">
        <f t="shared" si="45"/>
        <v>100</v>
      </c>
      <c r="AE683" s="81">
        <v>0</v>
      </c>
      <c r="AF683" s="81">
        <v>0</v>
      </c>
      <c r="AG683" s="81">
        <v>0</v>
      </c>
      <c r="AH683" s="81">
        <v>0</v>
      </c>
      <c r="AI683" s="79" t="s">
        <v>1531</v>
      </c>
      <c r="AJ683" s="65">
        <v>360</v>
      </c>
      <c r="AK683" s="78">
        <v>1273</v>
      </c>
      <c r="AL683" s="200"/>
      <c r="AM683" s="190"/>
      <c r="AN683" s="190"/>
      <c r="AO683" s="190"/>
      <c r="AP683" s="190"/>
      <c r="AQ683" s="190"/>
      <c r="AR683" s="190"/>
      <c r="AS683" s="190"/>
      <c r="AT683" s="201"/>
      <c r="AU683" s="190"/>
      <c r="AV683" s="202"/>
      <c r="AW683" s="190"/>
      <c r="AX683" s="190">
        <v>11.494999999999999</v>
      </c>
      <c r="AY683" s="79"/>
      <c r="AZ683" s="65">
        <v>323.3</v>
      </c>
      <c r="BA683" s="78"/>
      <c r="BB683" s="65"/>
      <c r="BC683" s="65"/>
      <c r="BD683" s="65"/>
      <c r="BE683" s="65"/>
      <c r="BF683" s="79"/>
      <c r="BG683" s="65"/>
      <c r="BH683" s="78"/>
      <c r="BI683" s="65"/>
      <c r="BJ683" s="68"/>
      <c r="BK683" s="256"/>
    </row>
    <row r="684" spans="1:63" ht="23.25" customHeight="1" thickBot="1" x14ac:dyDescent="0.25">
      <c r="A684" s="62">
        <v>683</v>
      </c>
      <c r="B684" s="238">
        <v>654</v>
      </c>
      <c r="C684" s="238" t="s">
        <v>1817</v>
      </c>
      <c r="D684" s="225" t="s">
        <v>474</v>
      </c>
      <c r="E684" s="54" t="s">
        <v>334</v>
      </c>
      <c r="F684" s="16">
        <v>80</v>
      </c>
      <c r="G684" s="8">
        <v>12.857142857142859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17">
        <v>0</v>
      </c>
      <c r="T684" s="8">
        <v>7.1428571428571423</v>
      </c>
      <c r="U684" s="8">
        <v>0</v>
      </c>
      <c r="V684" s="8">
        <v>0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14">
        <f t="shared" si="45"/>
        <v>100</v>
      </c>
      <c r="AE684" s="8">
        <v>0</v>
      </c>
      <c r="AF684" s="8">
        <v>0</v>
      </c>
      <c r="AG684" s="8">
        <v>0</v>
      </c>
      <c r="AH684" s="8">
        <v>0</v>
      </c>
      <c r="AI684" s="39" t="s">
        <v>1531</v>
      </c>
      <c r="AJ684" s="7">
        <v>720</v>
      </c>
      <c r="AK684" s="62">
        <v>1323</v>
      </c>
      <c r="AL684" s="158"/>
      <c r="AM684" s="85">
        <v>6</v>
      </c>
      <c r="AN684" s="85"/>
      <c r="AO684" s="85"/>
      <c r="AP684" s="85"/>
      <c r="AQ684" s="85"/>
      <c r="AR684" s="85"/>
      <c r="AS684" s="85"/>
      <c r="AT684" s="205"/>
      <c r="AU684" s="85">
        <v>0</v>
      </c>
      <c r="AV684" s="196">
        <f>SUM(AL684:AT684)</f>
        <v>6</v>
      </c>
      <c r="AW684" s="85"/>
      <c r="AX684" s="85"/>
      <c r="AY684" s="39">
        <v>0.01</v>
      </c>
      <c r="AZ684" s="7">
        <v>222</v>
      </c>
      <c r="BA684" s="62"/>
      <c r="BB684" s="7" t="s">
        <v>524</v>
      </c>
      <c r="BC684" s="7" t="s">
        <v>1005</v>
      </c>
      <c r="BD684" s="7" t="s">
        <v>1006</v>
      </c>
      <c r="BE684" s="7" t="s">
        <v>1009</v>
      </c>
      <c r="BF684" s="39"/>
      <c r="BG684" s="7"/>
      <c r="BH684" s="62"/>
      <c r="BI684" s="7"/>
      <c r="BJ684" s="32"/>
      <c r="BK684" s="256"/>
    </row>
    <row r="685" spans="1:63" ht="23.25" customHeight="1" thickBot="1" x14ac:dyDescent="0.25">
      <c r="A685" s="7">
        <v>684</v>
      </c>
      <c r="B685" s="221"/>
      <c r="C685" s="221"/>
      <c r="D685" s="223"/>
      <c r="E685" s="54" t="s">
        <v>356</v>
      </c>
      <c r="F685" s="16">
        <v>78.399999999999991</v>
      </c>
      <c r="G685" s="8">
        <v>12.857142857142859</v>
      </c>
      <c r="H685" s="8">
        <v>0</v>
      </c>
      <c r="I685" s="8">
        <v>0</v>
      </c>
      <c r="J685" s="8">
        <v>1.5999999999999996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17">
        <v>0</v>
      </c>
      <c r="T685" s="8">
        <v>7.1428571428571423</v>
      </c>
      <c r="U685" s="8">
        <v>0</v>
      </c>
      <c r="V685" s="8">
        <v>0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14">
        <f t="shared" si="45"/>
        <v>99.999999999999986</v>
      </c>
      <c r="AE685" s="8">
        <v>0</v>
      </c>
      <c r="AF685" s="8">
        <v>0</v>
      </c>
      <c r="AG685" s="8">
        <v>0</v>
      </c>
      <c r="AH685" s="8">
        <v>0</v>
      </c>
      <c r="AI685" s="39" t="s">
        <v>1531</v>
      </c>
      <c r="AJ685" s="7">
        <v>720</v>
      </c>
      <c r="AK685" s="62">
        <v>1323</v>
      </c>
      <c r="AL685" s="158"/>
      <c r="AM685" s="85">
        <v>6</v>
      </c>
      <c r="AN685" s="85"/>
      <c r="AO685" s="85"/>
      <c r="AP685" s="85"/>
      <c r="AQ685" s="85"/>
      <c r="AR685" s="85"/>
      <c r="AS685" s="85"/>
      <c r="AT685" s="205"/>
      <c r="AU685" s="85">
        <v>0</v>
      </c>
      <c r="AV685" s="196">
        <f>SUM(AL685:AT685)</f>
        <v>6</v>
      </c>
      <c r="AW685" s="85"/>
      <c r="AX685" s="85"/>
      <c r="AY685" s="39">
        <v>0.01</v>
      </c>
      <c r="AZ685" s="7">
        <v>242.4</v>
      </c>
      <c r="BA685" s="62"/>
      <c r="BB685" s="7" t="s">
        <v>524</v>
      </c>
      <c r="BC685" s="7" t="s">
        <v>1004</v>
      </c>
      <c r="BD685" s="7" t="s">
        <v>1007</v>
      </c>
      <c r="BE685" s="7" t="s">
        <v>1010</v>
      </c>
      <c r="BF685" s="39"/>
      <c r="BG685" s="7"/>
      <c r="BH685" s="62"/>
      <c r="BI685" s="7"/>
      <c r="BJ685" s="32"/>
      <c r="BK685" s="256"/>
    </row>
    <row r="686" spans="1:63" ht="23.25" customHeight="1" thickBot="1" x14ac:dyDescent="0.25">
      <c r="A686" s="62">
        <v>685</v>
      </c>
      <c r="B686" s="221"/>
      <c r="C686" s="221"/>
      <c r="D686" s="223"/>
      <c r="E686" s="54" t="s">
        <v>305</v>
      </c>
      <c r="F686" s="16">
        <v>76.8</v>
      </c>
      <c r="G686" s="8">
        <v>12.857142857142859</v>
      </c>
      <c r="H686" s="8">
        <v>0</v>
      </c>
      <c r="I686" s="8">
        <v>0</v>
      </c>
      <c r="J686" s="8">
        <v>3.1999999999999993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17">
        <v>0</v>
      </c>
      <c r="T686" s="8">
        <v>7.1428571428571423</v>
      </c>
      <c r="U686" s="8">
        <v>0</v>
      </c>
      <c r="V686" s="8">
        <v>0</v>
      </c>
      <c r="W686" s="8">
        <v>0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  <c r="AD686" s="14">
        <f t="shared" si="45"/>
        <v>100</v>
      </c>
      <c r="AE686" s="8">
        <v>0</v>
      </c>
      <c r="AF686" s="8">
        <v>0</v>
      </c>
      <c r="AG686" s="8">
        <v>0</v>
      </c>
      <c r="AH686" s="8">
        <v>0</v>
      </c>
      <c r="AI686" s="39" t="s">
        <v>1531</v>
      </c>
      <c r="AJ686" s="7">
        <v>720</v>
      </c>
      <c r="AK686" s="62">
        <v>1323</v>
      </c>
      <c r="AL686" s="158"/>
      <c r="AM686" s="85">
        <v>6</v>
      </c>
      <c r="AN686" s="85"/>
      <c r="AO686" s="85"/>
      <c r="AP686" s="85"/>
      <c r="AQ686" s="85"/>
      <c r="AR686" s="85"/>
      <c r="AS686" s="85"/>
      <c r="AT686" s="205"/>
      <c r="AU686" s="85">
        <v>0</v>
      </c>
      <c r="AV686" s="196">
        <f>SUM(AL686:AT686)</f>
        <v>6</v>
      </c>
      <c r="AW686" s="85"/>
      <c r="AX686" s="85"/>
      <c r="AY686" s="39">
        <v>0.01</v>
      </c>
      <c r="AZ686" s="7">
        <v>266.89999999999998</v>
      </c>
      <c r="BA686" s="62"/>
      <c r="BB686" s="7">
        <v>5</v>
      </c>
      <c r="BC686" s="7">
        <v>8.65</v>
      </c>
      <c r="BD686" s="7"/>
      <c r="BE686" s="7"/>
      <c r="BF686" s="39"/>
      <c r="BG686" s="7"/>
      <c r="BH686" s="62"/>
      <c r="BI686" s="7"/>
      <c r="BJ686" s="32"/>
      <c r="BK686" s="256"/>
    </row>
    <row r="687" spans="1:63" ht="23.25" customHeight="1" thickBot="1" x14ac:dyDescent="0.25">
      <c r="A687" s="7">
        <v>686</v>
      </c>
      <c r="B687" s="221"/>
      <c r="C687" s="221"/>
      <c r="D687" s="223"/>
      <c r="E687" s="54" t="s">
        <v>473</v>
      </c>
      <c r="F687" s="16">
        <v>74.399999999999991</v>
      </c>
      <c r="G687" s="8">
        <v>12.857142857142859</v>
      </c>
      <c r="H687" s="8">
        <v>0</v>
      </c>
      <c r="I687" s="8">
        <v>0</v>
      </c>
      <c r="J687" s="8">
        <v>5.6000000000000005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>
        <v>0</v>
      </c>
      <c r="S687" s="17">
        <v>0</v>
      </c>
      <c r="T687" s="8">
        <v>7.1428571428571423</v>
      </c>
      <c r="U687" s="8">
        <v>0</v>
      </c>
      <c r="V687" s="8">
        <v>0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14">
        <f t="shared" si="45"/>
        <v>99.999999999999986</v>
      </c>
      <c r="AE687" s="8">
        <v>0</v>
      </c>
      <c r="AF687" s="8">
        <v>0</v>
      </c>
      <c r="AG687" s="8">
        <v>0</v>
      </c>
      <c r="AH687" s="8">
        <v>0</v>
      </c>
      <c r="AI687" s="39" t="s">
        <v>1531</v>
      </c>
      <c r="AJ687" s="7">
        <v>720</v>
      </c>
      <c r="AK687" s="62">
        <v>1323</v>
      </c>
      <c r="AL687" s="158"/>
      <c r="AM687" s="85">
        <v>6</v>
      </c>
      <c r="AN687" s="85"/>
      <c r="AO687" s="85"/>
      <c r="AP687" s="85"/>
      <c r="AQ687" s="85"/>
      <c r="AR687" s="85"/>
      <c r="AS687" s="85"/>
      <c r="AT687" s="205"/>
      <c r="AU687" s="85">
        <v>0</v>
      </c>
      <c r="AV687" s="196">
        <f>SUM(AL687:AT687)</f>
        <v>6</v>
      </c>
      <c r="AW687" s="85"/>
      <c r="AX687" s="85"/>
      <c r="AY687" s="39">
        <v>0.01</v>
      </c>
      <c r="AZ687" s="7">
        <v>296.2</v>
      </c>
      <c r="BA687" s="62"/>
      <c r="BB687" s="7" t="s">
        <v>524</v>
      </c>
      <c r="BC687" s="7" t="s">
        <v>968</v>
      </c>
      <c r="BD687" s="7" t="s">
        <v>1008</v>
      </c>
      <c r="BE687" s="7" t="s">
        <v>1011</v>
      </c>
      <c r="BF687" s="39"/>
      <c r="BG687" s="7"/>
      <c r="BH687" s="62"/>
      <c r="BI687" s="7"/>
      <c r="BJ687" s="32"/>
      <c r="BK687" s="256"/>
    </row>
    <row r="688" spans="1:63" ht="23.25" customHeight="1" thickBot="1" x14ac:dyDescent="0.25">
      <c r="A688" s="62">
        <v>687</v>
      </c>
      <c r="B688" s="222"/>
      <c r="C688" s="222"/>
      <c r="D688" s="224"/>
      <c r="E688" s="54" t="s">
        <v>308</v>
      </c>
      <c r="F688" s="16">
        <v>73.599999999999994</v>
      </c>
      <c r="G688" s="8">
        <v>12.857142857142859</v>
      </c>
      <c r="H688" s="8">
        <v>0</v>
      </c>
      <c r="I688" s="8">
        <v>0</v>
      </c>
      <c r="J688" s="8">
        <v>6.3999999999999986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17">
        <v>0</v>
      </c>
      <c r="T688" s="8">
        <v>7.1428571428571423</v>
      </c>
      <c r="U688" s="8">
        <v>0</v>
      </c>
      <c r="V688" s="8">
        <v>0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14">
        <f t="shared" si="45"/>
        <v>100</v>
      </c>
      <c r="AE688" s="8">
        <v>0</v>
      </c>
      <c r="AF688" s="8">
        <v>0</v>
      </c>
      <c r="AG688" s="8">
        <v>0</v>
      </c>
      <c r="AH688" s="8">
        <v>0</v>
      </c>
      <c r="AI688" s="39" t="s">
        <v>1531</v>
      </c>
      <c r="AJ688" s="7">
        <v>720</v>
      </c>
      <c r="AK688" s="62">
        <v>1323</v>
      </c>
      <c r="AL688" s="158"/>
      <c r="AM688" s="85">
        <v>6</v>
      </c>
      <c r="AN688" s="85"/>
      <c r="AO688" s="85"/>
      <c r="AP688" s="85"/>
      <c r="AQ688" s="85"/>
      <c r="AR688" s="85"/>
      <c r="AS688" s="85"/>
      <c r="AT688" s="205"/>
      <c r="AU688" s="85">
        <v>0</v>
      </c>
      <c r="AV688" s="196">
        <f>SUM(AL688:AT688)</f>
        <v>6</v>
      </c>
      <c r="AW688" s="85"/>
      <c r="AX688" s="85"/>
      <c r="AY688" s="39">
        <v>0.01</v>
      </c>
      <c r="AZ688" s="7">
        <v>307</v>
      </c>
      <c r="BA688" s="62"/>
      <c r="BB688" s="7">
        <v>5</v>
      </c>
      <c r="BC688" s="7">
        <v>7.1</v>
      </c>
      <c r="BD688" s="7"/>
      <c r="BE688" s="7"/>
      <c r="BF688" s="39"/>
      <c r="BG688" s="7"/>
      <c r="BH688" s="62"/>
      <c r="BI688" s="7"/>
      <c r="BJ688" s="32"/>
      <c r="BK688" s="256"/>
    </row>
    <row r="689" spans="1:63" s="4" customFormat="1" ht="23.25" customHeight="1" thickBot="1" x14ac:dyDescent="0.25">
      <c r="A689" s="7">
        <v>688</v>
      </c>
      <c r="B689" s="238">
        <v>661</v>
      </c>
      <c r="C689" s="238" t="s">
        <v>1816</v>
      </c>
      <c r="D689" s="225" t="s">
        <v>472</v>
      </c>
      <c r="E689" s="12" t="s">
        <v>241</v>
      </c>
      <c r="F689" s="87">
        <v>81.714285714285708</v>
      </c>
      <c r="G689" s="88">
        <v>11.142857142857142</v>
      </c>
      <c r="H689" s="88">
        <v>0</v>
      </c>
      <c r="I689" s="88">
        <v>0</v>
      </c>
      <c r="J689" s="88">
        <v>0</v>
      </c>
      <c r="K689" s="88">
        <v>0</v>
      </c>
      <c r="L689" s="88">
        <v>0</v>
      </c>
      <c r="M689" s="88">
        <v>0</v>
      </c>
      <c r="N689" s="88">
        <v>0</v>
      </c>
      <c r="O689" s="88">
        <v>0</v>
      </c>
      <c r="P689" s="88">
        <v>0</v>
      </c>
      <c r="Q689" s="88">
        <v>0</v>
      </c>
      <c r="R689" s="88">
        <v>0</v>
      </c>
      <c r="S689" s="89">
        <v>0</v>
      </c>
      <c r="T689" s="88">
        <v>7.1428571428571423</v>
      </c>
      <c r="U689" s="88">
        <v>0</v>
      </c>
      <c r="V689" s="88">
        <v>0</v>
      </c>
      <c r="W689" s="88">
        <v>0</v>
      </c>
      <c r="X689" s="88">
        <v>0</v>
      </c>
      <c r="Y689" s="88">
        <v>0</v>
      </c>
      <c r="Z689" s="88">
        <v>0</v>
      </c>
      <c r="AA689" s="88">
        <v>0</v>
      </c>
      <c r="AB689" s="88">
        <v>0</v>
      </c>
      <c r="AC689" s="88">
        <v>0</v>
      </c>
      <c r="AD689" s="90">
        <f t="shared" si="45"/>
        <v>99.999999999999986</v>
      </c>
      <c r="AE689" s="88">
        <v>0</v>
      </c>
      <c r="AF689" s="88">
        <v>0</v>
      </c>
      <c r="AG689" s="88">
        <v>0</v>
      </c>
      <c r="AH689" s="88">
        <v>0</v>
      </c>
      <c r="AI689" s="159" t="s">
        <v>1529</v>
      </c>
      <c r="AJ689" s="106">
        <v>3</v>
      </c>
      <c r="AK689" s="107">
        <v>1300</v>
      </c>
      <c r="AL689" s="197"/>
      <c r="AM689" s="189"/>
      <c r="AN689" s="189"/>
      <c r="AO689" s="189"/>
      <c r="AP689" s="189"/>
      <c r="AQ689" s="189"/>
      <c r="AR689" s="189"/>
      <c r="AS689" s="189"/>
      <c r="AT689" s="198"/>
      <c r="AU689" s="189"/>
      <c r="AV689" s="199"/>
      <c r="AW689" s="189"/>
      <c r="AX689" s="189"/>
      <c r="AY689" s="156">
        <v>0.01</v>
      </c>
      <c r="AZ689" s="45">
        <v>203</v>
      </c>
      <c r="BA689" s="91">
        <v>0.2</v>
      </c>
      <c r="BB689" s="45">
        <v>5</v>
      </c>
      <c r="BC689" s="45">
        <v>14.3</v>
      </c>
      <c r="BD689" s="45">
        <v>211</v>
      </c>
      <c r="BE689" s="45">
        <v>23.9</v>
      </c>
      <c r="BF689" s="156"/>
      <c r="BG689" s="45"/>
      <c r="BH689" s="91"/>
      <c r="BI689" s="45"/>
      <c r="BJ689" s="67"/>
      <c r="BK689" s="256"/>
    </row>
    <row r="690" spans="1:63" ht="23.25" customHeight="1" thickBot="1" x14ac:dyDescent="0.25">
      <c r="A690" s="62">
        <v>689</v>
      </c>
      <c r="B690" s="221"/>
      <c r="C690" s="221"/>
      <c r="D690" s="223"/>
      <c r="E690" s="54" t="s">
        <v>248</v>
      </c>
      <c r="F690" s="16">
        <v>81.714285714285708</v>
      </c>
      <c r="G690" s="8">
        <v>11.142857142857142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17">
        <v>0</v>
      </c>
      <c r="T690" s="8">
        <v>6.4285714285714297</v>
      </c>
      <c r="U690" s="8">
        <v>0</v>
      </c>
      <c r="V690" s="8">
        <v>0</v>
      </c>
      <c r="W690" s="8">
        <v>0.7142857142857143</v>
      </c>
      <c r="X690" s="8">
        <v>0</v>
      </c>
      <c r="Y690" s="8">
        <v>0</v>
      </c>
      <c r="Z690" s="8">
        <v>0</v>
      </c>
      <c r="AA690" s="8">
        <v>0</v>
      </c>
      <c r="AB690" s="8">
        <v>0</v>
      </c>
      <c r="AC690" s="8">
        <v>0</v>
      </c>
      <c r="AD690" s="14">
        <f t="shared" si="45"/>
        <v>99.999999999999986</v>
      </c>
      <c r="AE690" s="8">
        <v>0</v>
      </c>
      <c r="AF690" s="8">
        <v>0</v>
      </c>
      <c r="AG690" s="8">
        <v>0</v>
      </c>
      <c r="AH690" s="8">
        <v>0</v>
      </c>
      <c r="AI690" s="63" t="s">
        <v>1529</v>
      </c>
      <c r="AJ690" s="64">
        <v>3</v>
      </c>
      <c r="AK690" s="93">
        <v>1300</v>
      </c>
      <c r="AL690" s="158"/>
      <c r="AM690" s="85"/>
      <c r="AN690" s="85"/>
      <c r="AO690" s="85"/>
      <c r="AP690" s="85"/>
      <c r="AQ690" s="85"/>
      <c r="AR690" s="85"/>
      <c r="AS690" s="85"/>
      <c r="AT690" s="205"/>
      <c r="AU690" s="85"/>
      <c r="AV690" s="196"/>
      <c r="AW690" s="85"/>
      <c r="AX690" s="85"/>
      <c r="AY690" s="39">
        <v>0.01</v>
      </c>
      <c r="AZ690" s="7">
        <v>198</v>
      </c>
      <c r="BA690" s="62">
        <v>0.4</v>
      </c>
      <c r="BB690" s="7">
        <v>5</v>
      </c>
      <c r="BC690" s="7">
        <v>19.2</v>
      </c>
      <c r="BD690" s="7">
        <v>204.9</v>
      </c>
      <c r="BE690" s="7">
        <v>21.9</v>
      </c>
      <c r="BF690" s="39"/>
      <c r="BG690" s="7"/>
      <c r="BH690" s="62"/>
      <c r="BI690" s="7"/>
      <c r="BJ690" s="32"/>
      <c r="BK690" s="256"/>
    </row>
    <row r="691" spans="1:63" s="6" customFormat="1" ht="23.25" customHeight="1" thickBot="1" x14ac:dyDescent="0.25">
      <c r="A691" s="7">
        <v>690</v>
      </c>
      <c r="B691" s="222"/>
      <c r="C691" s="222"/>
      <c r="D691" s="224"/>
      <c r="E691" s="13" t="s">
        <v>249</v>
      </c>
      <c r="F691" s="80">
        <v>81.714285714285708</v>
      </c>
      <c r="G691" s="81">
        <v>11.142857142857142</v>
      </c>
      <c r="H691" s="81">
        <v>0</v>
      </c>
      <c r="I691" s="81">
        <v>0</v>
      </c>
      <c r="J691" s="81">
        <v>0</v>
      </c>
      <c r="K691" s="81">
        <v>0</v>
      </c>
      <c r="L691" s="81">
        <v>0</v>
      </c>
      <c r="M691" s="81">
        <v>0</v>
      </c>
      <c r="N691" s="81">
        <v>0</v>
      </c>
      <c r="O691" s="81">
        <v>0</v>
      </c>
      <c r="P691" s="81">
        <v>0</v>
      </c>
      <c r="Q691" s="81">
        <v>0</v>
      </c>
      <c r="R691" s="81">
        <v>0</v>
      </c>
      <c r="S691" s="82">
        <v>0</v>
      </c>
      <c r="T691" s="81">
        <v>5.7142857142857144</v>
      </c>
      <c r="U691" s="81">
        <v>0</v>
      </c>
      <c r="V691" s="81">
        <v>0</v>
      </c>
      <c r="W691" s="81">
        <v>1.4285714285714286</v>
      </c>
      <c r="X691" s="81">
        <v>0</v>
      </c>
      <c r="Y691" s="81">
        <v>0</v>
      </c>
      <c r="Z691" s="81">
        <v>0</v>
      </c>
      <c r="AA691" s="81">
        <v>0</v>
      </c>
      <c r="AB691" s="81">
        <v>0</v>
      </c>
      <c r="AC691" s="81">
        <v>0</v>
      </c>
      <c r="AD691" s="83">
        <f t="shared" si="45"/>
        <v>99.999999999999986</v>
      </c>
      <c r="AE691" s="81">
        <v>0</v>
      </c>
      <c r="AF691" s="81">
        <v>0</v>
      </c>
      <c r="AG691" s="81">
        <v>0</v>
      </c>
      <c r="AH691" s="81">
        <v>0</v>
      </c>
      <c r="AI691" s="157" t="s">
        <v>1529</v>
      </c>
      <c r="AJ691" s="94">
        <v>3</v>
      </c>
      <c r="AK691" s="95">
        <v>1300</v>
      </c>
      <c r="AL691" s="200"/>
      <c r="AM691" s="190"/>
      <c r="AN691" s="190"/>
      <c r="AO691" s="190"/>
      <c r="AP691" s="190"/>
      <c r="AQ691" s="190"/>
      <c r="AR691" s="190"/>
      <c r="AS691" s="190"/>
      <c r="AT691" s="201"/>
      <c r="AU691" s="190"/>
      <c r="AV691" s="202"/>
      <c r="AW691" s="190"/>
      <c r="AX691" s="190"/>
      <c r="AY691" s="79">
        <v>0.01</v>
      </c>
      <c r="AZ691" s="65">
        <v>197</v>
      </c>
      <c r="BA691" s="78">
        <v>0.8</v>
      </c>
      <c r="BB691" s="65">
        <v>5</v>
      </c>
      <c r="BC691" s="65">
        <v>19</v>
      </c>
      <c r="BD691" s="65">
        <v>203.1</v>
      </c>
      <c r="BE691" s="65">
        <v>21.7</v>
      </c>
      <c r="BF691" s="79"/>
      <c r="BG691" s="65"/>
      <c r="BH691" s="78"/>
      <c r="BI691" s="65"/>
      <c r="BJ691" s="68"/>
      <c r="BK691" s="256"/>
    </row>
    <row r="692" spans="1:63" ht="23.25" customHeight="1" thickBot="1" x14ac:dyDescent="0.25">
      <c r="A692" s="62">
        <v>691</v>
      </c>
      <c r="B692" s="238">
        <v>662</v>
      </c>
      <c r="C692" s="238" t="s">
        <v>1815</v>
      </c>
      <c r="D692" s="225" t="s">
        <v>471</v>
      </c>
      <c r="E692" s="54" t="s">
        <v>241</v>
      </c>
      <c r="F692" s="16">
        <v>83.571428571428569</v>
      </c>
      <c r="G692" s="8">
        <v>9.2857142857142865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17">
        <v>0</v>
      </c>
      <c r="T692" s="8">
        <v>7.1428571428571423</v>
      </c>
      <c r="U692" s="8">
        <v>0</v>
      </c>
      <c r="V692" s="8">
        <v>0</v>
      </c>
      <c r="W692" s="8">
        <v>0</v>
      </c>
      <c r="X692" s="8">
        <v>0</v>
      </c>
      <c r="Y692" s="8">
        <v>0</v>
      </c>
      <c r="Z692" s="8">
        <v>0</v>
      </c>
      <c r="AA692" s="8">
        <v>0</v>
      </c>
      <c r="AB692" s="8">
        <v>0</v>
      </c>
      <c r="AC692" s="8">
        <v>0</v>
      </c>
      <c r="AD692" s="14">
        <f t="shared" si="45"/>
        <v>100</v>
      </c>
      <c r="AE692" s="8">
        <v>0</v>
      </c>
      <c r="AF692" s="8">
        <v>0</v>
      </c>
      <c r="AG692" s="8">
        <v>0</v>
      </c>
      <c r="AH692" s="8">
        <v>0</v>
      </c>
      <c r="AI692" s="39" t="s">
        <v>1531</v>
      </c>
      <c r="AJ692" s="7">
        <v>720</v>
      </c>
      <c r="AK692" s="62">
        <v>1323</v>
      </c>
      <c r="AL692" s="158"/>
      <c r="AM692" s="85">
        <v>4.5</v>
      </c>
      <c r="AN692" s="85"/>
      <c r="AO692" s="85"/>
      <c r="AP692" s="85"/>
      <c r="AQ692" s="85"/>
      <c r="AR692" s="85"/>
      <c r="AS692" s="85"/>
      <c r="AT692" s="205"/>
      <c r="AU692" s="85">
        <v>0</v>
      </c>
      <c r="AV692" s="196">
        <f>SUM(AL692:AT692)</f>
        <v>4.5</v>
      </c>
      <c r="AW692" s="85">
        <v>11.475</v>
      </c>
      <c r="AX692" s="85"/>
      <c r="AY692" s="39">
        <v>0.01</v>
      </c>
      <c r="AZ692" s="7">
        <v>185</v>
      </c>
      <c r="BA692" s="62">
        <v>3</v>
      </c>
      <c r="BB692" s="7" t="s">
        <v>524</v>
      </c>
      <c r="BC692" s="7" t="s">
        <v>1948</v>
      </c>
      <c r="BD692" s="7" t="s">
        <v>1949</v>
      </c>
      <c r="BE692" s="7" t="s">
        <v>1960</v>
      </c>
      <c r="BF692" s="39"/>
      <c r="BG692" s="7"/>
      <c r="BH692" s="62"/>
      <c r="BI692" s="7"/>
      <c r="BJ692" s="32"/>
      <c r="BK692" s="256"/>
    </row>
    <row r="693" spans="1:63" ht="23.25" customHeight="1" thickBot="1" x14ac:dyDescent="0.25">
      <c r="A693" s="7">
        <v>692</v>
      </c>
      <c r="B693" s="221"/>
      <c r="C693" s="221"/>
      <c r="D693" s="223"/>
      <c r="E693" s="54" t="s">
        <v>248</v>
      </c>
      <c r="F693" s="16">
        <v>83.571428571428569</v>
      </c>
      <c r="G693" s="8">
        <v>8.3571428571428594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0.9285714285714286</v>
      </c>
      <c r="O693" s="8">
        <v>0</v>
      </c>
      <c r="P693" s="8">
        <v>0</v>
      </c>
      <c r="Q693" s="8">
        <v>0</v>
      </c>
      <c r="R693" s="8">
        <v>0</v>
      </c>
      <c r="S693" s="17">
        <v>0</v>
      </c>
      <c r="T693" s="8">
        <v>7.1428571428571423</v>
      </c>
      <c r="U693" s="8">
        <v>0</v>
      </c>
      <c r="V693" s="8">
        <v>0</v>
      </c>
      <c r="W693" s="8">
        <v>0</v>
      </c>
      <c r="X693" s="8">
        <v>0</v>
      </c>
      <c r="Y693" s="8">
        <v>0</v>
      </c>
      <c r="Z693" s="8">
        <v>0</v>
      </c>
      <c r="AA693" s="8">
        <v>0</v>
      </c>
      <c r="AB693" s="8">
        <v>0</v>
      </c>
      <c r="AC693" s="8">
        <v>0</v>
      </c>
      <c r="AD693" s="14">
        <f t="shared" si="45"/>
        <v>100</v>
      </c>
      <c r="AE693" s="8">
        <v>0</v>
      </c>
      <c r="AF693" s="8">
        <v>0</v>
      </c>
      <c r="AG693" s="8">
        <v>0</v>
      </c>
      <c r="AH693" s="8">
        <v>0</v>
      </c>
      <c r="AI693" s="39" t="s">
        <v>1531</v>
      </c>
      <c r="AJ693" s="7">
        <v>720</v>
      </c>
      <c r="AK693" s="62">
        <v>1323</v>
      </c>
      <c r="AL693" s="158"/>
      <c r="AM693" s="85">
        <v>4.5</v>
      </c>
      <c r="AN693" s="85"/>
      <c r="AO693" s="85"/>
      <c r="AP693" s="85"/>
      <c r="AQ693" s="85"/>
      <c r="AR693" s="85"/>
      <c r="AS693" s="85"/>
      <c r="AT693" s="205"/>
      <c r="AU693" s="85">
        <v>0</v>
      </c>
      <c r="AV693" s="196">
        <f>SUM(AL693:AT693)</f>
        <v>4.5</v>
      </c>
      <c r="AW693" s="85"/>
      <c r="AX693" s="85"/>
      <c r="AY693" s="39"/>
      <c r="AZ693" s="7"/>
      <c r="BA693" s="62"/>
      <c r="BB693" s="7"/>
      <c r="BC693" s="7"/>
      <c r="BD693" s="7"/>
      <c r="BE693" s="7"/>
      <c r="BF693" s="39"/>
      <c r="BG693" s="7"/>
      <c r="BH693" s="62"/>
      <c r="BI693" s="7"/>
      <c r="BJ693" s="32"/>
      <c r="BK693" s="256"/>
    </row>
    <row r="694" spans="1:63" ht="23.25" customHeight="1" thickBot="1" x14ac:dyDescent="0.25">
      <c r="A694" s="62">
        <v>693</v>
      </c>
      <c r="B694" s="222"/>
      <c r="C694" s="222"/>
      <c r="D694" s="224"/>
      <c r="E694" s="54" t="s">
        <v>249</v>
      </c>
      <c r="F694" s="16">
        <v>83.571428571428569</v>
      </c>
      <c r="G694" s="8">
        <v>7.4285714285714306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1.8571428571428577</v>
      </c>
      <c r="O694" s="8">
        <v>0</v>
      </c>
      <c r="P694" s="8">
        <v>0</v>
      </c>
      <c r="Q694" s="8">
        <v>0</v>
      </c>
      <c r="R694" s="8">
        <v>0</v>
      </c>
      <c r="S694" s="17">
        <v>0</v>
      </c>
      <c r="T694" s="8">
        <v>7.1428571428571441</v>
      </c>
      <c r="U694" s="8">
        <v>0</v>
      </c>
      <c r="V694" s="8">
        <v>0</v>
      </c>
      <c r="W694" s="8">
        <v>0</v>
      </c>
      <c r="X694" s="8">
        <v>0</v>
      </c>
      <c r="Y694" s="8">
        <v>0</v>
      </c>
      <c r="Z694" s="8">
        <v>0</v>
      </c>
      <c r="AA694" s="8">
        <v>0</v>
      </c>
      <c r="AB694" s="8">
        <v>0</v>
      </c>
      <c r="AC694" s="8">
        <v>0</v>
      </c>
      <c r="AD694" s="14">
        <f t="shared" si="45"/>
        <v>100</v>
      </c>
      <c r="AE694" s="8">
        <v>0</v>
      </c>
      <c r="AF694" s="8">
        <v>0</v>
      </c>
      <c r="AG694" s="8">
        <v>0</v>
      </c>
      <c r="AH694" s="8">
        <v>0</v>
      </c>
      <c r="AI694" s="39" t="s">
        <v>1531</v>
      </c>
      <c r="AJ694" s="7">
        <v>720</v>
      </c>
      <c r="AK694" s="62">
        <v>1323</v>
      </c>
      <c r="AL694" s="158"/>
      <c r="AM694" s="85">
        <v>4.5</v>
      </c>
      <c r="AN694" s="85"/>
      <c r="AO694" s="85"/>
      <c r="AP694" s="85"/>
      <c r="AQ694" s="85"/>
      <c r="AR694" s="85"/>
      <c r="AS694" s="85"/>
      <c r="AT694" s="205"/>
      <c r="AU694" s="85">
        <v>0</v>
      </c>
      <c r="AV694" s="196">
        <f>SUM(AL694:AT694)</f>
        <v>4.5</v>
      </c>
      <c r="AW694" s="85">
        <v>11.468</v>
      </c>
      <c r="AX694" s="85"/>
      <c r="AY694" s="39">
        <v>0.01</v>
      </c>
      <c r="AZ694" s="7">
        <v>200</v>
      </c>
      <c r="BA694" s="62">
        <v>0</v>
      </c>
      <c r="BB694" s="7" t="s">
        <v>524</v>
      </c>
      <c r="BC694" s="7" t="s">
        <v>1012</v>
      </c>
      <c r="BD694" s="7" t="s">
        <v>1013</v>
      </c>
      <c r="BE694" s="7" t="s">
        <v>1961</v>
      </c>
      <c r="BF694" s="39"/>
      <c r="BG694" s="7"/>
      <c r="BH694" s="62"/>
      <c r="BI694" s="7"/>
      <c r="BJ694" s="32"/>
      <c r="BK694" s="256"/>
    </row>
    <row r="695" spans="1:63" s="19" customFormat="1" ht="23.25" customHeight="1" thickBot="1" x14ac:dyDescent="0.25">
      <c r="A695" s="7">
        <v>694</v>
      </c>
      <c r="B695" s="70">
        <v>316</v>
      </c>
      <c r="C695" s="70" t="s">
        <v>1831</v>
      </c>
      <c r="D695" s="21" t="s">
        <v>17</v>
      </c>
      <c r="E695" s="21"/>
      <c r="F695" s="99">
        <v>82.857142857142847</v>
      </c>
      <c r="G695" s="100">
        <v>10</v>
      </c>
      <c r="H695" s="100">
        <v>0</v>
      </c>
      <c r="I695" s="100">
        <v>0</v>
      </c>
      <c r="J695" s="100">
        <v>0</v>
      </c>
      <c r="K695" s="100">
        <v>0</v>
      </c>
      <c r="L695" s="100">
        <v>0</v>
      </c>
      <c r="M695" s="100">
        <v>0</v>
      </c>
      <c r="N695" s="100">
        <v>0</v>
      </c>
      <c r="O695" s="100">
        <v>0</v>
      </c>
      <c r="P695" s="100">
        <v>0</v>
      </c>
      <c r="Q695" s="100">
        <v>0</v>
      </c>
      <c r="R695" s="100">
        <v>0</v>
      </c>
      <c r="S695" s="101">
        <v>0</v>
      </c>
      <c r="T695" s="100">
        <v>7.1428571428571423</v>
      </c>
      <c r="U695" s="100">
        <v>0</v>
      </c>
      <c r="V695" s="100">
        <v>0</v>
      </c>
      <c r="W695" s="100">
        <v>0</v>
      </c>
      <c r="X695" s="100">
        <v>0</v>
      </c>
      <c r="Y695" s="100">
        <v>0</v>
      </c>
      <c r="Z695" s="100">
        <v>0</v>
      </c>
      <c r="AA695" s="100">
        <v>0</v>
      </c>
      <c r="AB695" s="100">
        <v>0</v>
      </c>
      <c r="AC695" s="100">
        <v>0</v>
      </c>
      <c r="AD695" s="102">
        <f t="shared" si="45"/>
        <v>99.999999999999986</v>
      </c>
      <c r="AE695" s="100">
        <v>0</v>
      </c>
      <c r="AF695" s="100">
        <v>0</v>
      </c>
      <c r="AG695" s="100">
        <v>0</v>
      </c>
      <c r="AH695" s="100">
        <v>0</v>
      </c>
      <c r="AI695" s="120" t="s">
        <v>1527</v>
      </c>
      <c r="AJ695" s="98">
        <v>24</v>
      </c>
      <c r="AK695" s="105">
        <v>1323</v>
      </c>
      <c r="AL695" s="206">
        <v>84.7</v>
      </c>
      <c r="AM695" s="194">
        <v>15.3</v>
      </c>
      <c r="AN695" s="194"/>
      <c r="AO695" s="194"/>
      <c r="AP695" s="194"/>
      <c r="AQ695" s="194"/>
      <c r="AR695" s="194"/>
      <c r="AS695" s="194"/>
      <c r="AT695" s="207"/>
      <c r="AU695" s="194"/>
      <c r="AV695" s="208">
        <f>SUM(AL695:AT695)</f>
        <v>100</v>
      </c>
      <c r="AW695" s="194">
        <v>11.478</v>
      </c>
      <c r="AX695" s="194"/>
      <c r="AY695" s="120">
        <v>0.05</v>
      </c>
      <c r="AZ695" s="98">
        <v>197</v>
      </c>
      <c r="BA695" s="105"/>
      <c r="BB695" s="98">
        <v>2</v>
      </c>
      <c r="BC695" s="191">
        <v>11.09</v>
      </c>
      <c r="BD695" s="191">
        <v>200</v>
      </c>
      <c r="BE695" s="191">
        <v>14.292159999999996</v>
      </c>
      <c r="BF695" s="120"/>
      <c r="BG695" s="98"/>
      <c r="BH695" s="105"/>
      <c r="BI695" s="98"/>
      <c r="BJ695" s="70"/>
      <c r="BK695" s="21"/>
    </row>
    <row r="696" spans="1:63" ht="23.25" customHeight="1" thickBot="1" x14ac:dyDescent="0.25">
      <c r="A696" s="62">
        <v>695</v>
      </c>
      <c r="B696" s="238">
        <v>320</v>
      </c>
      <c r="C696" s="238" t="s">
        <v>1832</v>
      </c>
      <c r="D696" s="225" t="s">
        <v>469</v>
      </c>
      <c r="E696" s="54" t="s">
        <v>438</v>
      </c>
      <c r="F696" s="16">
        <v>78.571428571428569</v>
      </c>
      <c r="G696" s="8">
        <v>14.285714285714285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17">
        <v>0</v>
      </c>
      <c r="T696" s="8">
        <v>7.1428571428571423</v>
      </c>
      <c r="U696" s="8">
        <v>0</v>
      </c>
      <c r="V696" s="8">
        <v>0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14">
        <f t="shared" si="45"/>
        <v>100</v>
      </c>
      <c r="AE696" s="8">
        <v>0</v>
      </c>
      <c r="AF696" s="8">
        <v>0</v>
      </c>
      <c r="AG696" s="8">
        <v>0</v>
      </c>
      <c r="AH696" s="8">
        <v>0</v>
      </c>
      <c r="AI696" s="39" t="s">
        <v>1529</v>
      </c>
      <c r="AJ696" s="64"/>
      <c r="AK696" s="93"/>
      <c r="AL696" s="158"/>
      <c r="AM696" s="85"/>
      <c r="AN696" s="85"/>
      <c r="AO696" s="85"/>
      <c r="AP696" s="85"/>
      <c r="AQ696" s="85"/>
      <c r="AR696" s="85"/>
      <c r="AS696" s="85"/>
      <c r="AT696" s="205"/>
      <c r="AU696" s="85"/>
      <c r="AV696" s="196"/>
      <c r="AW696" s="85"/>
      <c r="AX696" s="85"/>
      <c r="AY696" s="39">
        <v>1.2</v>
      </c>
      <c r="AZ696" s="7">
        <v>220</v>
      </c>
      <c r="BA696" s="62"/>
      <c r="BB696" s="7">
        <v>1.2</v>
      </c>
      <c r="BC696" s="75">
        <v>1.43</v>
      </c>
      <c r="BD696" s="75"/>
      <c r="BE696" s="75">
        <v>55</v>
      </c>
      <c r="BF696" s="39"/>
      <c r="BG696" s="7"/>
      <c r="BH696" s="62"/>
      <c r="BI696" s="7"/>
      <c r="BJ696" s="32"/>
      <c r="BK696" s="256"/>
    </row>
    <row r="697" spans="1:63" ht="23.25" customHeight="1" thickBot="1" x14ac:dyDescent="0.25">
      <c r="A697" s="7">
        <v>696</v>
      </c>
      <c r="B697" s="221"/>
      <c r="C697" s="221"/>
      <c r="D697" s="223"/>
      <c r="E697" s="54" t="s">
        <v>439</v>
      </c>
      <c r="F697" s="16">
        <v>71.428571428571431</v>
      </c>
      <c r="G697" s="8">
        <v>14.285714285714285</v>
      </c>
      <c r="H697" s="8">
        <v>0</v>
      </c>
      <c r="I697" s="8">
        <v>0</v>
      </c>
      <c r="J697" s="8">
        <v>7.1428571428571423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>
        <v>0</v>
      </c>
      <c r="S697" s="17">
        <v>0</v>
      </c>
      <c r="T697" s="8">
        <v>7.1428571428571423</v>
      </c>
      <c r="U697" s="8">
        <v>0</v>
      </c>
      <c r="V697" s="8">
        <v>0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14">
        <f t="shared" si="45"/>
        <v>100</v>
      </c>
      <c r="AE697" s="8">
        <v>0</v>
      </c>
      <c r="AF697" s="8">
        <v>0</v>
      </c>
      <c r="AG697" s="8">
        <v>0</v>
      </c>
      <c r="AH697" s="8">
        <v>0</v>
      </c>
      <c r="AI697" s="39" t="s">
        <v>1529</v>
      </c>
      <c r="AJ697" s="64"/>
      <c r="AK697" s="93"/>
      <c r="AL697" s="158"/>
      <c r="AM697" s="85"/>
      <c r="AN697" s="85"/>
      <c r="AO697" s="85"/>
      <c r="AP697" s="85"/>
      <c r="AQ697" s="85"/>
      <c r="AR697" s="85"/>
      <c r="AS697" s="85"/>
      <c r="AT697" s="205"/>
      <c r="AU697" s="85"/>
      <c r="AV697" s="196"/>
      <c r="AW697" s="85"/>
      <c r="AX697" s="85"/>
      <c r="AY697" s="39">
        <v>1.2</v>
      </c>
      <c r="AZ697" s="7">
        <v>315</v>
      </c>
      <c r="BA697" s="62"/>
      <c r="BB697" s="7">
        <v>1.2</v>
      </c>
      <c r="BC697" s="75">
        <v>1.25</v>
      </c>
      <c r="BD697" s="75"/>
      <c r="BE697" s="75">
        <v>67</v>
      </c>
      <c r="BF697" s="39"/>
      <c r="BG697" s="7"/>
      <c r="BH697" s="62"/>
      <c r="BI697" s="7"/>
      <c r="BJ697" s="32"/>
      <c r="BK697" s="256"/>
    </row>
    <row r="698" spans="1:63" ht="23.25" customHeight="1" thickBot="1" x14ac:dyDescent="0.25">
      <c r="A698" s="62">
        <v>697</v>
      </c>
      <c r="B698" s="221"/>
      <c r="C698" s="221"/>
      <c r="D698" s="223"/>
      <c r="E698" s="54" t="s">
        <v>440</v>
      </c>
      <c r="F698" s="16">
        <v>64.285714285714292</v>
      </c>
      <c r="G698" s="8">
        <v>14.285714285714285</v>
      </c>
      <c r="H698" s="8">
        <v>0</v>
      </c>
      <c r="I698" s="8">
        <v>0</v>
      </c>
      <c r="J698" s="8">
        <v>14.285714285714285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17">
        <v>0</v>
      </c>
      <c r="T698" s="8">
        <v>7.1428571428571423</v>
      </c>
      <c r="U698" s="8">
        <v>0</v>
      </c>
      <c r="V698" s="8">
        <v>0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14">
        <f t="shared" si="45"/>
        <v>100</v>
      </c>
      <c r="AE698" s="8">
        <v>0</v>
      </c>
      <c r="AF698" s="8">
        <v>0</v>
      </c>
      <c r="AG698" s="8">
        <v>0</v>
      </c>
      <c r="AH698" s="8">
        <v>0</v>
      </c>
      <c r="AI698" s="39" t="s">
        <v>1529</v>
      </c>
      <c r="AJ698" s="64"/>
      <c r="AK698" s="93"/>
      <c r="AL698" s="158"/>
      <c r="AM698" s="85"/>
      <c r="AN698" s="85"/>
      <c r="AO698" s="85"/>
      <c r="AP698" s="85"/>
      <c r="AQ698" s="85"/>
      <c r="AR698" s="85"/>
      <c r="AS698" s="85"/>
      <c r="AT698" s="205"/>
      <c r="AU698" s="85"/>
      <c r="AV698" s="196"/>
      <c r="AW698" s="85"/>
      <c r="AX698" s="85"/>
      <c r="AY698" s="39">
        <v>1.2</v>
      </c>
      <c r="AZ698" s="7">
        <v>410</v>
      </c>
      <c r="BA698" s="62"/>
      <c r="BB698" s="7">
        <v>1.2</v>
      </c>
      <c r="BC698" s="75">
        <v>1.26</v>
      </c>
      <c r="BD698" s="75"/>
      <c r="BE698" s="75">
        <v>70</v>
      </c>
      <c r="BF698" s="39"/>
      <c r="BG698" s="7"/>
      <c r="BH698" s="62"/>
      <c r="BI698" s="7"/>
      <c r="BJ698" s="32"/>
      <c r="BK698" s="256"/>
    </row>
    <row r="699" spans="1:63" ht="23.25" customHeight="1" thickBot="1" x14ac:dyDescent="0.25">
      <c r="A699" s="7">
        <v>698</v>
      </c>
      <c r="B699" s="221"/>
      <c r="C699" s="221"/>
      <c r="D699" s="223"/>
      <c r="E699" s="54" t="s">
        <v>441</v>
      </c>
      <c r="F699" s="16">
        <v>57.142857142857139</v>
      </c>
      <c r="G699" s="8">
        <v>14.285714285714285</v>
      </c>
      <c r="H699" s="8">
        <v>0</v>
      </c>
      <c r="I699" s="8">
        <v>0</v>
      </c>
      <c r="J699" s="8">
        <v>21.428571428571427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>
        <v>0</v>
      </c>
      <c r="S699" s="17">
        <v>0</v>
      </c>
      <c r="T699" s="8">
        <v>7.1428571428571423</v>
      </c>
      <c r="U699" s="8">
        <v>0</v>
      </c>
      <c r="V699" s="8">
        <v>0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14">
        <f t="shared" si="45"/>
        <v>99.999999999999986</v>
      </c>
      <c r="AE699" s="8">
        <v>0</v>
      </c>
      <c r="AF699" s="8">
        <v>0</v>
      </c>
      <c r="AG699" s="8">
        <v>0</v>
      </c>
      <c r="AH699" s="8">
        <v>0</v>
      </c>
      <c r="AI699" s="39" t="s">
        <v>1529</v>
      </c>
      <c r="AJ699" s="64"/>
      <c r="AK699" s="93"/>
      <c r="AL699" s="158"/>
      <c r="AM699" s="85"/>
      <c r="AN699" s="85"/>
      <c r="AO699" s="85"/>
      <c r="AP699" s="85"/>
      <c r="AQ699" s="85"/>
      <c r="AR699" s="85"/>
      <c r="AS699" s="85"/>
      <c r="AT699" s="205"/>
      <c r="AU699" s="85"/>
      <c r="AV699" s="196"/>
      <c r="AW699" s="85"/>
      <c r="AX699" s="85"/>
      <c r="AY699" s="39">
        <v>1.2</v>
      </c>
      <c r="AZ699" s="7">
        <v>480</v>
      </c>
      <c r="BA699" s="62"/>
      <c r="BB699" s="7"/>
      <c r="BC699" s="75"/>
      <c r="BD699" s="75"/>
      <c r="BE699" s="75"/>
      <c r="BF699" s="39"/>
      <c r="BG699" s="7"/>
      <c r="BH699" s="62"/>
      <c r="BI699" s="7"/>
      <c r="BJ699" s="32"/>
      <c r="BK699" s="256"/>
    </row>
    <row r="700" spans="1:63" ht="23.25" customHeight="1" thickBot="1" x14ac:dyDescent="0.25">
      <c r="A700" s="62">
        <v>699</v>
      </c>
      <c r="B700" s="222"/>
      <c r="C700" s="222"/>
      <c r="D700" s="224"/>
      <c r="E700" s="54" t="s">
        <v>470</v>
      </c>
      <c r="F700" s="16">
        <v>50</v>
      </c>
      <c r="G700" s="8">
        <v>14.285714285714285</v>
      </c>
      <c r="H700" s="8">
        <v>0</v>
      </c>
      <c r="I700" s="8">
        <v>0</v>
      </c>
      <c r="J700" s="8">
        <v>28.571428571428569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17">
        <v>0</v>
      </c>
      <c r="T700" s="8">
        <v>7.1428571428571423</v>
      </c>
      <c r="U700" s="8">
        <v>0</v>
      </c>
      <c r="V700" s="8">
        <v>0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  <c r="AD700" s="14">
        <f t="shared" si="45"/>
        <v>99.999999999999986</v>
      </c>
      <c r="AE700" s="8">
        <v>0</v>
      </c>
      <c r="AF700" s="8">
        <v>0</v>
      </c>
      <c r="AG700" s="8">
        <v>0</v>
      </c>
      <c r="AH700" s="8">
        <v>0</v>
      </c>
      <c r="AI700" s="39" t="s">
        <v>1529</v>
      </c>
      <c r="AJ700" s="64"/>
      <c r="AK700" s="93"/>
      <c r="AL700" s="158"/>
      <c r="AM700" s="85"/>
      <c r="AN700" s="85"/>
      <c r="AO700" s="85"/>
      <c r="AP700" s="85"/>
      <c r="AQ700" s="85"/>
      <c r="AR700" s="85"/>
      <c r="AS700" s="85"/>
      <c r="AT700" s="205"/>
      <c r="AU700" s="85"/>
      <c r="AV700" s="196"/>
      <c r="AW700" s="85"/>
      <c r="AX700" s="85"/>
      <c r="AY700" s="39">
        <v>1.2</v>
      </c>
      <c r="AZ700" s="7">
        <v>530</v>
      </c>
      <c r="BA700" s="62"/>
      <c r="BB700" s="7"/>
      <c r="BC700" s="75"/>
      <c r="BD700" s="75"/>
      <c r="BE700" s="75"/>
      <c r="BF700" s="39"/>
      <c r="BG700" s="7"/>
      <c r="BH700" s="62"/>
      <c r="BI700" s="7"/>
      <c r="BJ700" s="32"/>
      <c r="BK700" s="256"/>
    </row>
    <row r="701" spans="1:63" s="4" customFormat="1" ht="23.25" customHeight="1" thickBot="1" x14ac:dyDescent="0.25">
      <c r="A701" s="7">
        <v>700</v>
      </c>
      <c r="B701" s="238">
        <v>274</v>
      </c>
      <c r="C701" s="238" t="s">
        <v>1833</v>
      </c>
      <c r="D701" s="12" t="s">
        <v>177</v>
      </c>
      <c r="E701" s="12"/>
      <c r="F701" s="87">
        <v>71.221428571428575</v>
      </c>
      <c r="G701" s="88">
        <v>5.85</v>
      </c>
      <c r="H701" s="88">
        <v>0</v>
      </c>
      <c r="I701" s="88">
        <v>0</v>
      </c>
      <c r="J701" s="88">
        <v>15.785714285714286</v>
      </c>
      <c r="K701" s="88">
        <v>0</v>
      </c>
      <c r="L701" s="88">
        <v>0</v>
      </c>
      <c r="M701" s="88">
        <v>0</v>
      </c>
      <c r="N701" s="88">
        <v>0</v>
      </c>
      <c r="O701" s="88">
        <v>0</v>
      </c>
      <c r="P701" s="88">
        <v>0</v>
      </c>
      <c r="Q701" s="88">
        <v>0</v>
      </c>
      <c r="R701" s="88">
        <v>0</v>
      </c>
      <c r="S701" s="89">
        <v>0</v>
      </c>
      <c r="T701" s="88">
        <v>7.1428571428571423</v>
      </c>
      <c r="U701" s="88">
        <v>0</v>
      </c>
      <c r="V701" s="88">
        <v>0</v>
      </c>
      <c r="W701" s="88">
        <v>0</v>
      </c>
      <c r="X701" s="88">
        <v>0</v>
      </c>
      <c r="Y701" s="88">
        <v>0</v>
      </c>
      <c r="Z701" s="88">
        <v>0</v>
      </c>
      <c r="AA701" s="88">
        <v>0</v>
      </c>
      <c r="AB701" s="88">
        <v>0</v>
      </c>
      <c r="AC701" s="88">
        <v>0</v>
      </c>
      <c r="AD701" s="90">
        <f t="shared" si="45"/>
        <v>100</v>
      </c>
      <c r="AE701" s="88">
        <v>0</v>
      </c>
      <c r="AF701" s="88">
        <v>0</v>
      </c>
      <c r="AG701" s="88">
        <v>0</v>
      </c>
      <c r="AH701" s="88">
        <v>0</v>
      </c>
      <c r="AI701" s="156" t="s">
        <v>1531</v>
      </c>
      <c r="AJ701" s="45">
        <v>288</v>
      </c>
      <c r="AK701" s="91">
        <v>1323</v>
      </c>
      <c r="AL701" s="197"/>
      <c r="AM701" s="189"/>
      <c r="AN701" s="189"/>
      <c r="AO701" s="189"/>
      <c r="AP701" s="189"/>
      <c r="AQ701" s="189"/>
      <c r="AR701" s="189"/>
      <c r="AS701" s="189"/>
      <c r="AT701" s="198"/>
      <c r="AU701" s="189"/>
      <c r="AV701" s="199"/>
      <c r="AW701" s="189"/>
      <c r="AX701" s="189"/>
      <c r="AY701" s="156"/>
      <c r="AZ701" s="45"/>
      <c r="BA701" s="91"/>
      <c r="BB701" s="45">
        <v>5</v>
      </c>
      <c r="BC701" s="187">
        <v>1.2</v>
      </c>
      <c r="BD701" s="187">
        <v>161.1</v>
      </c>
      <c r="BE701" s="187">
        <v>20.9</v>
      </c>
      <c r="BF701" s="156"/>
      <c r="BG701" s="45"/>
      <c r="BH701" s="91"/>
      <c r="BI701" s="45"/>
      <c r="BJ701" s="67"/>
      <c r="BK701" s="256"/>
    </row>
    <row r="702" spans="1:63" ht="23.25" customHeight="1" thickBot="1" x14ac:dyDescent="0.25">
      <c r="A702" s="62">
        <v>701</v>
      </c>
      <c r="B702" s="221"/>
      <c r="C702" s="221"/>
      <c r="D702" s="54" t="s">
        <v>178</v>
      </c>
      <c r="E702" s="54"/>
      <c r="F702" s="16">
        <v>69.178571428571431</v>
      </c>
      <c r="G702" s="8">
        <v>7.8928571428571432</v>
      </c>
      <c r="H702" s="8">
        <v>0</v>
      </c>
      <c r="I702" s="8">
        <v>0</v>
      </c>
      <c r="J702" s="8">
        <v>15.785714285714286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17">
        <v>0</v>
      </c>
      <c r="T702" s="8">
        <v>7.1428571428571423</v>
      </c>
      <c r="U702" s="8">
        <v>0</v>
      </c>
      <c r="V702" s="8">
        <v>0</v>
      </c>
      <c r="W702" s="8">
        <v>0</v>
      </c>
      <c r="X702" s="8">
        <v>0</v>
      </c>
      <c r="Y702" s="8">
        <v>0</v>
      </c>
      <c r="Z702" s="8">
        <v>0</v>
      </c>
      <c r="AA702" s="8">
        <v>0</v>
      </c>
      <c r="AB702" s="8">
        <v>0</v>
      </c>
      <c r="AC702" s="8">
        <v>0</v>
      </c>
      <c r="AD702" s="14">
        <f t="shared" si="45"/>
        <v>100</v>
      </c>
      <c r="AE702" s="8">
        <v>0</v>
      </c>
      <c r="AF702" s="8">
        <v>0</v>
      </c>
      <c r="AG702" s="8">
        <v>0</v>
      </c>
      <c r="AH702" s="8">
        <v>0</v>
      </c>
      <c r="AI702" s="39" t="s">
        <v>1531</v>
      </c>
      <c r="AJ702" s="7">
        <v>288</v>
      </c>
      <c r="AK702" s="62">
        <v>1323</v>
      </c>
      <c r="AL702" s="158"/>
      <c r="AM702" s="85"/>
      <c r="AN702" s="85"/>
      <c r="AO702" s="85"/>
      <c r="AP702" s="85"/>
      <c r="AQ702" s="85"/>
      <c r="AR702" s="85"/>
      <c r="AS702" s="85"/>
      <c r="AT702" s="205"/>
      <c r="AU702" s="85"/>
      <c r="AV702" s="196"/>
      <c r="AW702" s="85"/>
      <c r="AX702" s="85"/>
      <c r="AY702" s="39"/>
      <c r="AZ702" s="7"/>
      <c r="BA702" s="62"/>
      <c r="BB702" s="7">
        <v>5</v>
      </c>
      <c r="BC702" s="75">
        <v>1.1000000000000001</v>
      </c>
      <c r="BD702" s="75">
        <v>157.19999999999999</v>
      </c>
      <c r="BE702" s="75">
        <v>22.3</v>
      </c>
      <c r="BF702" s="39"/>
      <c r="BG702" s="7"/>
      <c r="BH702" s="62"/>
      <c r="BI702" s="7"/>
      <c r="BJ702" s="32"/>
      <c r="BK702" s="256"/>
    </row>
    <row r="703" spans="1:63" s="6" customFormat="1" ht="23.25" customHeight="1" thickBot="1" x14ac:dyDescent="0.25">
      <c r="A703" s="7">
        <v>702</v>
      </c>
      <c r="B703" s="222"/>
      <c r="C703" s="222"/>
      <c r="D703" s="13" t="s">
        <v>178</v>
      </c>
      <c r="E703" s="13"/>
      <c r="F703" s="80">
        <v>69.178571428571431</v>
      </c>
      <c r="G703" s="81">
        <v>7.8928571428571432</v>
      </c>
      <c r="H703" s="81">
        <v>0</v>
      </c>
      <c r="I703" s="81">
        <v>0</v>
      </c>
      <c r="J703" s="81">
        <v>15.785714285714286</v>
      </c>
      <c r="K703" s="81">
        <v>0</v>
      </c>
      <c r="L703" s="81">
        <v>0</v>
      </c>
      <c r="M703" s="81">
        <v>0</v>
      </c>
      <c r="N703" s="81">
        <v>0</v>
      </c>
      <c r="O703" s="81">
        <v>0</v>
      </c>
      <c r="P703" s="81">
        <v>0</v>
      </c>
      <c r="Q703" s="81">
        <v>0</v>
      </c>
      <c r="R703" s="81">
        <v>0</v>
      </c>
      <c r="S703" s="82">
        <v>0</v>
      </c>
      <c r="T703" s="81">
        <v>7.1428571428571423</v>
      </c>
      <c r="U703" s="81">
        <v>0</v>
      </c>
      <c r="V703" s="81">
        <v>0</v>
      </c>
      <c r="W703" s="81">
        <v>0</v>
      </c>
      <c r="X703" s="81">
        <v>0</v>
      </c>
      <c r="Y703" s="81">
        <v>0</v>
      </c>
      <c r="Z703" s="81">
        <v>0</v>
      </c>
      <c r="AA703" s="81">
        <v>0</v>
      </c>
      <c r="AB703" s="81">
        <v>0</v>
      </c>
      <c r="AC703" s="81">
        <v>0</v>
      </c>
      <c r="AD703" s="83">
        <f t="shared" si="45"/>
        <v>100</v>
      </c>
      <c r="AE703" s="81">
        <v>0</v>
      </c>
      <c r="AF703" s="81">
        <v>0</v>
      </c>
      <c r="AG703" s="81">
        <v>0</v>
      </c>
      <c r="AH703" s="81">
        <v>0</v>
      </c>
      <c r="AI703" s="79" t="s">
        <v>1529</v>
      </c>
      <c r="AJ703" s="65">
        <v>2</v>
      </c>
      <c r="AK703" s="78">
        <v>1323</v>
      </c>
      <c r="AL703" s="200"/>
      <c r="AM703" s="190"/>
      <c r="AN703" s="190"/>
      <c r="AO703" s="190"/>
      <c r="AP703" s="190"/>
      <c r="AQ703" s="190"/>
      <c r="AR703" s="190"/>
      <c r="AS703" s="190"/>
      <c r="AT703" s="201"/>
      <c r="AU703" s="190"/>
      <c r="AV703" s="202"/>
      <c r="AW703" s="190"/>
      <c r="AX703" s="190"/>
      <c r="AY703" s="79"/>
      <c r="AZ703" s="65"/>
      <c r="BA703" s="78"/>
      <c r="BB703" s="65">
        <v>5</v>
      </c>
      <c r="BC703" s="188">
        <v>1</v>
      </c>
      <c r="BD703" s="188">
        <v>163</v>
      </c>
      <c r="BE703" s="188">
        <v>36</v>
      </c>
      <c r="BF703" s="79"/>
      <c r="BG703" s="65"/>
      <c r="BH703" s="78"/>
      <c r="BI703" s="65"/>
      <c r="BJ703" s="68"/>
      <c r="BK703" s="256"/>
    </row>
    <row r="704" spans="1:63" ht="23.25" customHeight="1" thickBot="1" x14ac:dyDescent="0.25">
      <c r="A704" s="62">
        <v>703</v>
      </c>
      <c r="B704" s="238">
        <v>214</v>
      </c>
      <c r="C704" s="238" t="s">
        <v>1834</v>
      </c>
      <c r="D704" s="225" t="s">
        <v>306</v>
      </c>
      <c r="E704" s="54" t="s">
        <v>302</v>
      </c>
      <c r="F704" s="16">
        <v>81.714285714285708</v>
      </c>
      <c r="G704" s="8">
        <v>11.142857142857142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17">
        <v>0</v>
      </c>
      <c r="T704" s="8">
        <v>7.1428571428571423</v>
      </c>
      <c r="U704" s="8">
        <v>0</v>
      </c>
      <c r="V704" s="8">
        <v>0</v>
      </c>
      <c r="W704" s="8">
        <v>0</v>
      </c>
      <c r="X704" s="8">
        <v>0</v>
      </c>
      <c r="Y704" s="8">
        <v>0</v>
      </c>
      <c r="Z704" s="8">
        <v>0</v>
      </c>
      <c r="AA704" s="8">
        <v>0</v>
      </c>
      <c r="AB704" s="8">
        <v>0</v>
      </c>
      <c r="AC704" s="8">
        <v>0</v>
      </c>
      <c r="AD704" s="14">
        <f t="shared" si="45"/>
        <v>99.999999999999986</v>
      </c>
      <c r="AE704" s="8">
        <v>0</v>
      </c>
      <c r="AF704" s="8">
        <v>0</v>
      </c>
      <c r="AG704" s="8">
        <v>0</v>
      </c>
      <c r="AH704" s="8">
        <v>0</v>
      </c>
      <c r="AI704" s="39" t="s">
        <v>1531</v>
      </c>
      <c r="AJ704" s="7">
        <v>240</v>
      </c>
      <c r="AK704" s="62">
        <v>1423</v>
      </c>
      <c r="AL704" s="158"/>
      <c r="AM704" s="85"/>
      <c r="AN704" s="85"/>
      <c r="AO704" s="85"/>
      <c r="AP704" s="85"/>
      <c r="AQ704" s="85"/>
      <c r="AR704" s="85"/>
      <c r="AS704" s="85"/>
      <c r="AT704" s="205"/>
      <c r="AU704" s="85"/>
      <c r="AV704" s="196"/>
      <c r="AW704" s="85">
        <v>11.468</v>
      </c>
      <c r="AX704" s="85"/>
      <c r="AY704" s="39"/>
      <c r="AZ704" s="7">
        <v>195.1</v>
      </c>
      <c r="BA704" s="62"/>
      <c r="BB704" s="7">
        <v>2</v>
      </c>
      <c r="BC704" s="75">
        <v>19.899999999999999</v>
      </c>
      <c r="BD704" s="186">
        <v>195</v>
      </c>
      <c r="BE704" s="75"/>
      <c r="BF704" s="39">
        <v>2</v>
      </c>
      <c r="BG704" s="7">
        <v>6.4</v>
      </c>
      <c r="BH704" s="62">
        <v>195</v>
      </c>
      <c r="BI704" s="7"/>
      <c r="BJ704" s="32"/>
      <c r="BK704" s="256"/>
    </row>
    <row r="705" spans="1:63" ht="23.25" customHeight="1" thickBot="1" x14ac:dyDescent="0.25">
      <c r="A705" s="7">
        <v>704</v>
      </c>
      <c r="B705" s="221"/>
      <c r="C705" s="221"/>
      <c r="D705" s="223"/>
      <c r="E705" s="54" t="s">
        <v>299</v>
      </c>
      <c r="F705" s="16">
        <v>81.714285714285708</v>
      </c>
      <c r="G705" s="8">
        <v>11.142857142857142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17">
        <v>0</v>
      </c>
      <c r="T705" s="8">
        <v>6.4285714285714297</v>
      </c>
      <c r="U705" s="8">
        <v>0</v>
      </c>
      <c r="V705" s="8">
        <v>0.7142857142857143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0</v>
      </c>
      <c r="AC705" s="8">
        <v>0</v>
      </c>
      <c r="AD705" s="14">
        <f t="shared" si="45"/>
        <v>99.999999999999986</v>
      </c>
      <c r="AE705" s="8">
        <v>0</v>
      </c>
      <c r="AF705" s="8">
        <v>0</v>
      </c>
      <c r="AG705" s="8">
        <v>0</v>
      </c>
      <c r="AH705" s="8">
        <v>0</v>
      </c>
      <c r="AI705" s="39" t="s">
        <v>1531</v>
      </c>
      <c r="AJ705" s="7">
        <v>240</v>
      </c>
      <c r="AK705" s="62">
        <v>1423</v>
      </c>
      <c r="AL705" s="158"/>
      <c r="AM705" s="85"/>
      <c r="AN705" s="85"/>
      <c r="AO705" s="85"/>
      <c r="AP705" s="85"/>
      <c r="AQ705" s="85"/>
      <c r="AR705" s="85"/>
      <c r="AS705" s="85"/>
      <c r="AT705" s="205"/>
      <c r="AU705" s="85"/>
      <c r="AV705" s="196"/>
      <c r="AW705" s="85">
        <v>11.462</v>
      </c>
      <c r="AX705" s="85"/>
      <c r="AY705" s="39"/>
      <c r="AZ705" s="7">
        <v>190</v>
      </c>
      <c r="BA705" s="62"/>
      <c r="BB705" s="7">
        <v>2</v>
      </c>
      <c r="BC705" s="75">
        <v>23.7</v>
      </c>
      <c r="BD705" s="186">
        <v>190</v>
      </c>
      <c r="BE705" s="75"/>
      <c r="BF705" s="39"/>
      <c r="BG705" s="7"/>
      <c r="BH705" s="62"/>
      <c r="BI705" s="7"/>
      <c r="BJ705" s="32"/>
      <c r="BK705" s="256"/>
    </row>
    <row r="706" spans="1:63" ht="23.25" customHeight="1" thickBot="1" x14ac:dyDescent="0.25">
      <c r="A706" s="62">
        <v>705</v>
      </c>
      <c r="B706" s="221"/>
      <c r="C706" s="221"/>
      <c r="D706" s="223"/>
      <c r="E706" s="54" t="s">
        <v>300</v>
      </c>
      <c r="F706" s="16">
        <v>81.714285714285708</v>
      </c>
      <c r="G706" s="8">
        <v>11.142857142857142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17">
        <v>0</v>
      </c>
      <c r="T706" s="8">
        <v>5.7142857142857144</v>
      </c>
      <c r="U706" s="8">
        <v>0</v>
      </c>
      <c r="V706" s="8">
        <v>1.4285714285714286</v>
      </c>
      <c r="W706" s="8">
        <v>0</v>
      </c>
      <c r="X706" s="8">
        <v>0</v>
      </c>
      <c r="Y706" s="8">
        <v>0</v>
      </c>
      <c r="Z706" s="8">
        <v>0</v>
      </c>
      <c r="AA706" s="8">
        <v>0</v>
      </c>
      <c r="AB706" s="8">
        <v>0</v>
      </c>
      <c r="AC706" s="8">
        <v>0</v>
      </c>
      <c r="AD706" s="14">
        <f t="shared" si="45"/>
        <v>99.999999999999986</v>
      </c>
      <c r="AE706" s="8">
        <v>0</v>
      </c>
      <c r="AF706" s="8">
        <v>0</v>
      </c>
      <c r="AG706" s="8">
        <v>0</v>
      </c>
      <c r="AH706" s="8">
        <v>0</v>
      </c>
      <c r="AI706" s="39" t="s">
        <v>1531</v>
      </c>
      <c r="AJ706" s="7">
        <v>240</v>
      </c>
      <c r="AK706" s="62">
        <v>1423</v>
      </c>
      <c r="AL706" s="158"/>
      <c r="AM706" s="85"/>
      <c r="AN706" s="85"/>
      <c r="AO706" s="85"/>
      <c r="AP706" s="85"/>
      <c r="AQ706" s="85"/>
      <c r="AR706" s="85"/>
      <c r="AS706" s="85"/>
      <c r="AT706" s="205"/>
      <c r="AU706" s="85"/>
      <c r="AV706" s="196"/>
      <c r="AW706" s="85">
        <v>11.457000000000001</v>
      </c>
      <c r="AX706" s="85"/>
      <c r="AY706" s="39"/>
      <c r="AZ706" s="7">
        <v>182</v>
      </c>
      <c r="BA706" s="62"/>
      <c r="BB706" s="7">
        <v>2</v>
      </c>
      <c r="BC706" s="75">
        <v>27.1</v>
      </c>
      <c r="BD706" s="186">
        <v>182</v>
      </c>
      <c r="BE706" s="75"/>
      <c r="BF706" s="39"/>
      <c r="BG706" s="7"/>
      <c r="BH706" s="62"/>
      <c r="BI706" s="7"/>
      <c r="BJ706" s="32"/>
      <c r="BK706" s="256"/>
    </row>
    <row r="707" spans="1:63" ht="23.25" customHeight="1" thickBot="1" x14ac:dyDescent="0.25">
      <c r="A707" s="7">
        <v>706</v>
      </c>
      <c r="B707" s="221"/>
      <c r="C707" s="221"/>
      <c r="D707" s="223"/>
      <c r="E707" s="54" t="s">
        <v>301</v>
      </c>
      <c r="F707" s="16">
        <v>81.714285714285708</v>
      </c>
      <c r="G707" s="8">
        <v>11.142857142857142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17">
        <v>0</v>
      </c>
      <c r="T707" s="8">
        <v>5</v>
      </c>
      <c r="U707" s="8">
        <v>0</v>
      </c>
      <c r="V707" s="8">
        <v>2.1428571428571428</v>
      </c>
      <c r="W707" s="8">
        <v>0</v>
      </c>
      <c r="X707" s="8">
        <v>0</v>
      </c>
      <c r="Y707" s="8">
        <v>0</v>
      </c>
      <c r="Z707" s="8">
        <v>0</v>
      </c>
      <c r="AA707" s="8">
        <v>0</v>
      </c>
      <c r="AB707" s="8">
        <v>0</v>
      </c>
      <c r="AC707" s="8">
        <v>0</v>
      </c>
      <c r="AD707" s="14">
        <f t="shared" si="45"/>
        <v>99.999999999999986</v>
      </c>
      <c r="AE707" s="8">
        <v>0</v>
      </c>
      <c r="AF707" s="8">
        <v>0</v>
      </c>
      <c r="AG707" s="8">
        <v>0</v>
      </c>
      <c r="AH707" s="8">
        <v>0</v>
      </c>
      <c r="AI707" s="39" t="s">
        <v>1531</v>
      </c>
      <c r="AJ707" s="7">
        <v>240</v>
      </c>
      <c r="AK707" s="62">
        <v>1423</v>
      </c>
      <c r="AL707" s="158"/>
      <c r="AM707" s="85"/>
      <c r="AN707" s="85"/>
      <c r="AO707" s="85"/>
      <c r="AP707" s="85"/>
      <c r="AQ707" s="85"/>
      <c r="AR707" s="85"/>
      <c r="AS707" s="85"/>
      <c r="AT707" s="205"/>
      <c r="AU707" s="85"/>
      <c r="AV707" s="196"/>
      <c r="AW707" s="85">
        <v>11.452</v>
      </c>
      <c r="AX707" s="85"/>
      <c r="AY707" s="39"/>
      <c r="AZ707" s="7">
        <v>175</v>
      </c>
      <c r="BA707" s="62"/>
      <c r="BB707" s="7">
        <v>2</v>
      </c>
      <c r="BC707" s="75">
        <v>29.1</v>
      </c>
      <c r="BD707" s="186">
        <v>175</v>
      </c>
      <c r="BE707" s="75"/>
      <c r="BF707" s="39">
        <v>2</v>
      </c>
      <c r="BG707" s="7">
        <v>7.4</v>
      </c>
      <c r="BH707" s="62">
        <v>175</v>
      </c>
      <c r="BI707" s="7"/>
      <c r="BJ707" s="32"/>
      <c r="BK707" s="256"/>
    </row>
    <row r="708" spans="1:63" ht="23.25" customHeight="1" thickBot="1" x14ac:dyDescent="0.25">
      <c r="A708" s="62">
        <v>707</v>
      </c>
      <c r="B708" s="221"/>
      <c r="C708" s="221"/>
      <c r="D708" s="223" t="s">
        <v>468</v>
      </c>
      <c r="E708" s="54" t="s">
        <v>299</v>
      </c>
      <c r="F708" s="16">
        <v>81.714285714285708</v>
      </c>
      <c r="G708" s="8">
        <v>11.142857142857142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17">
        <v>0</v>
      </c>
      <c r="T708" s="8">
        <v>6.4285714285714297</v>
      </c>
      <c r="U708" s="8">
        <v>0</v>
      </c>
      <c r="V708" s="8">
        <v>0</v>
      </c>
      <c r="W708" s="8">
        <v>0.7142857142857143</v>
      </c>
      <c r="X708" s="8">
        <v>0</v>
      </c>
      <c r="Y708" s="8">
        <v>0</v>
      </c>
      <c r="Z708" s="8">
        <v>0</v>
      </c>
      <c r="AA708" s="8">
        <v>0</v>
      </c>
      <c r="AB708" s="8">
        <v>0</v>
      </c>
      <c r="AC708" s="8">
        <v>0</v>
      </c>
      <c r="AD708" s="14">
        <f t="shared" si="45"/>
        <v>99.999999999999986</v>
      </c>
      <c r="AE708" s="8">
        <v>0</v>
      </c>
      <c r="AF708" s="8">
        <v>0</v>
      </c>
      <c r="AG708" s="8">
        <v>0</v>
      </c>
      <c r="AH708" s="8">
        <v>0</v>
      </c>
      <c r="AI708" s="39" t="s">
        <v>1531</v>
      </c>
      <c r="AJ708" s="7">
        <v>240</v>
      </c>
      <c r="AK708" s="62">
        <v>1423</v>
      </c>
      <c r="AL708" s="158"/>
      <c r="AM708" s="85"/>
      <c r="AN708" s="85"/>
      <c r="AO708" s="85"/>
      <c r="AP708" s="85"/>
      <c r="AQ708" s="85"/>
      <c r="AR708" s="85"/>
      <c r="AS708" s="85"/>
      <c r="AT708" s="205"/>
      <c r="AU708" s="85"/>
      <c r="AV708" s="196"/>
      <c r="AW708" s="85">
        <v>11.464</v>
      </c>
      <c r="AX708" s="85"/>
      <c r="AY708" s="39"/>
      <c r="AZ708" s="7">
        <v>194</v>
      </c>
      <c r="BA708" s="62"/>
      <c r="BB708" s="7">
        <v>2</v>
      </c>
      <c r="BC708" s="75">
        <v>23</v>
      </c>
      <c r="BD708" s="186">
        <v>194</v>
      </c>
      <c r="BE708" s="75"/>
      <c r="BF708" s="39">
        <v>2</v>
      </c>
      <c r="BG708" s="7">
        <v>6.7</v>
      </c>
      <c r="BH708" s="62">
        <v>194</v>
      </c>
      <c r="BI708" s="7"/>
      <c r="BJ708" s="32"/>
      <c r="BK708" s="256"/>
    </row>
    <row r="709" spans="1:63" ht="23.25" customHeight="1" thickBot="1" x14ac:dyDescent="0.25">
      <c r="A709" s="7">
        <v>708</v>
      </c>
      <c r="B709" s="221"/>
      <c r="C709" s="221"/>
      <c r="D709" s="223"/>
      <c r="E709" s="54" t="s">
        <v>301</v>
      </c>
      <c r="F709" s="16">
        <v>81.714285714285708</v>
      </c>
      <c r="G709" s="8">
        <v>11.142857142857142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17">
        <v>0</v>
      </c>
      <c r="T709" s="8">
        <v>5</v>
      </c>
      <c r="U709" s="8">
        <v>0</v>
      </c>
      <c r="V709" s="8">
        <v>0</v>
      </c>
      <c r="W709" s="8">
        <v>2.1428571428571428</v>
      </c>
      <c r="X709" s="8">
        <v>0</v>
      </c>
      <c r="Y709" s="8">
        <v>0</v>
      </c>
      <c r="Z709" s="8">
        <v>0</v>
      </c>
      <c r="AA709" s="8">
        <v>0</v>
      </c>
      <c r="AB709" s="8">
        <v>0</v>
      </c>
      <c r="AC709" s="8">
        <v>0</v>
      </c>
      <c r="AD709" s="14">
        <f t="shared" ref="AD709:AD762" si="46">SUM(F709:AC709)</f>
        <v>99.999999999999986</v>
      </c>
      <c r="AE709" s="8">
        <v>0</v>
      </c>
      <c r="AF709" s="8">
        <v>0</v>
      </c>
      <c r="AG709" s="8">
        <v>0</v>
      </c>
      <c r="AH709" s="8">
        <v>0</v>
      </c>
      <c r="AI709" s="39" t="s">
        <v>1531</v>
      </c>
      <c r="AJ709" s="7">
        <v>240</v>
      </c>
      <c r="AK709" s="62">
        <v>1423</v>
      </c>
      <c r="AL709" s="158"/>
      <c r="AM709" s="85"/>
      <c r="AN709" s="85"/>
      <c r="AO709" s="85"/>
      <c r="AP709" s="85"/>
      <c r="AQ709" s="85"/>
      <c r="AR709" s="85"/>
      <c r="AS709" s="85"/>
      <c r="AT709" s="205"/>
      <c r="AU709" s="85"/>
      <c r="AV709" s="196"/>
      <c r="AW709" s="85">
        <v>11.456</v>
      </c>
      <c r="AX709" s="85"/>
      <c r="AY709" s="39"/>
      <c r="AZ709" s="7">
        <v>190</v>
      </c>
      <c r="BA709" s="62"/>
      <c r="BB709" s="7">
        <v>2</v>
      </c>
      <c r="BC709" s="75">
        <v>25.7</v>
      </c>
      <c r="BD709" s="186">
        <v>190</v>
      </c>
      <c r="BE709" s="75"/>
      <c r="BF709" s="39">
        <v>2</v>
      </c>
      <c r="BG709" s="7">
        <v>7.3</v>
      </c>
      <c r="BH709" s="62">
        <v>190</v>
      </c>
      <c r="BI709" s="7"/>
      <c r="BJ709" s="32"/>
      <c r="BK709" s="256"/>
    </row>
    <row r="710" spans="1:63" ht="23.25" customHeight="1" thickBot="1" x14ac:dyDescent="0.25">
      <c r="A710" s="62">
        <v>709</v>
      </c>
      <c r="B710" s="221"/>
      <c r="C710" s="221"/>
      <c r="D710" s="223"/>
      <c r="E710" s="54" t="s">
        <v>442</v>
      </c>
      <c r="F710" s="16">
        <v>81.714285714285708</v>
      </c>
      <c r="G710" s="8">
        <v>11.142857142857142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17">
        <v>0</v>
      </c>
      <c r="T710" s="8">
        <v>3.5714285714285712</v>
      </c>
      <c r="U710" s="8">
        <v>0</v>
      </c>
      <c r="V710" s="8">
        <v>0</v>
      </c>
      <c r="W710" s="8">
        <v>3.5714285714285712</v>
      </c>
      <c r="X710" s="8">
        <v>0</v>
      </c>
      <c r="Y710" s="8">
        <v>0</v>
      </c>
      <c r="Z710" s="8">
        <v>0</v>
      </c>
      <c r="AA710" s="8">
        <v>0</v>
      </c>
      <c r="AB710" s="8">
        <v>0</v>
      </c>
      <c r="AC710" s="8">
        <v>0</v>
      </c>
      <c r="AD710" s="14">
        <f t="shared" si="46"/>
        <v>99.999999999999986</v>
      </c>
      <c r="AE710" s="8">
        <v>0</v>
      </c>
      <c r="AF710" s="8">
        <v>0</v>
      </c>
      <c r="AG710" s="8">
        <v>0</v>
      </c>
      <c r="AH710" s="8">
        <v>0</v>
      </c>
      <c r="AI710" s="39" t="s">
        <v>1531</v>
      </c>
      <c r="AJ710" s="7">
        <v>240</v>
      </c>
      <c r="AK710" s="62">
        <v>1423</v>
      </c>
      <c r="AL710" s="158"/>
      <c r="AM710" s="85"/>
      <c r="AN710" s="85"/>
      <c r="AO710" s="85"/>
      <c r="AP710" s="85"/>
      <c r="AQ710" s="85"/>
      <c r="AR710" s="85"/>
      <c r="AS710" s="85"/>
      <c r="AT710" s="205"/>
      <c r="AU710" s="85"/>
      <c r="AV710" s="196"/>
      <c r="AW710" s="85">
        <v>11.446999999999999</v>
      </c>
      <c r="AX710" s="85"/>
      <c r="AY710" s="39"/>
      <c r="AZ710" s="7">
        <v>186</v>
      </c>
      <c r="BA710" s="62"/>
      <c r="BB710" s="7">
        <v>2</v>
      </c>
      <c r="BC710" s="75">
        <v>28.7</v>
      </c>
      <c r="BD710" s="186">
        <v>186</v>
      </c>
      <c r="BE710" s="75"/>
      <c r="BF710" s="39">
        <v>2</v>
      </c>
      <c r="BG710" s="7">
        <v>7.1</v>
      </c>
      <c r="BH710" s="62">
        <v>186</v>
      </c>
      <c r="BI710" s="7"/>
      <c r="BJ710" s="32"/>
      <c r="BK710" s="256"/>
    </row>
    <row r="711" spans="1:63" ht="23.25" customHeight="1" thickBot="1" x14ac:dyDescent="0.25">
      <c r="A711" s="7">
        <v>710</v>
      </c>
      <c r="B711" s="221"/>
      <c r="C711" s="221"/>
      <c r="D711" s="54" t="s">
        <v>179</v>
      </c>
      <c r="E711" s="54"/>
      <c r="F711" s="16">
        <v>81.714285714285708</v>
      </c>
      <c r="G711" s="8">
        <v>11.142857142857142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>
        <v>0</v>
      </c>
      <c r="S711" s="17">
        <v>0</v>
      </c>
      <c r="T711" s="8">
        <v>7.1428571428571423</v>
      </c>
      <c r="U711" s="8">
        <v>0</v>
      </c>
      <c r="V711" s="8">
        <v>0</v>
      </c>
      <c r="W711" s="8">
        <v>0</v>
      </c>
      <c r="X711" s="8">
        <v>0</v>
      </c>
      <c r="Y711" s="8">
        <v>0</v>
      </c>
      <c r="Z711" s="8">
        <v>0</v>
      </c>
      <c r="AA711" s="8">
        <v>0</v>
      </c>
      <c r="AB711" s="8">
        <v>0</v>
      </c>
      <c r="AC711" s="8">
        <v>0</v>
      </c>
      <c r="AD711" s="14">
        <f t="shared" si="46"/>
        <v>99.999999999999986</v>
      </c>
      <c r="AE711" s="8">
        <f>1.5/14*100</f>
        <v>10.714285714285714</v>
      </c>
      <c r="AF711" s="8">
        <v>0</v>
      </c>
      <c r="AG711" s="8">
        <v>0</v>
      </c>
      <c r="AH711" s="8">
        <v>0</v>
      </c>
      <c r="AI711" s="39" t="s">
        <v>1531</v>
      </c>
      <c r="AJ711" s="7">
        <v>240</v>
      </c>
      <c r="AK711" s="62">
        <v>1423</v>
      </c>
      <c r="AL711" s="158"/>
      <c r="AM711" s="85"/>
      <c r="AN711" s="85"/>
      <c r="AO711" s="85"/>
      <c r="AP711" s="85"/>
      <c r="AQ711" s="85"/>
      <c r="AR711" s="85"/>
      <c r="AS711" s="85"/>
      <c r="AT711" s="205"/>
      <c r="AU711" s="85"/>
      <c r="AV711" s="196"/>
      <c r="AW711" s="85"/>
      <c r="AX711" s="85"/>
      <c r="AY711" s="39"/>
      <c r="AZ711" s="7"/>
      <c r="BA711" s="62"/>
      <c r="BB711" s="7">
        <v>2</v>
      </c>
      <c r="BC711" s="75">
        <v>19.100000000000001</v>
      </c>
      <c r="BD711" s="186">
        <v>324</v>
      </c>
      <c r="BE711" s="75">
        <v>8</v>
      </c>
      <c r="BF711" s="39"/>
      <c r="BG711" s="7"/>
      <c r="BH711" s="62"/>
      <c r="BI711" s="7"/>
      <c r="BJ711" s="32"/>
      <c r="BK711" s="256"/>
    </row>
    <row r="712" spans="1:63" ht="23.25" customHeight="1" thickBot="1" x14ac:dyDescent="0.25">
      <c r="A712" s="62">
        <v>711</v>
      </c>
      <c r="B712" s="221"/>
      <c r="C712" s="221"/>
      <c r="D712" s="54" t="s">
        <v>180</v>
      </c>
      <c r="E712" s="54"/>
      <c r="F712" s="16">
        <v>81.714285714285708</v>
      </c>
      <c r="G712" s="8">
        <v>11.142857142857142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17">
        <v>0</v>
      </c>
      <c r="T712" s="8">
        <v>5</v>
      </c>
      <c r="U712" s="8">
        <v>0</v>
      </c>
      <c r="V712" s="8">
        <v>2.1428571428571428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0</v>
      </c>
      <c r="AC712" s="8">
        <v>0</v>
      </c>
      <c r="AD712" s="14">
        <f t="shared" si="46"/>
        <v>99.999999999999986</v>
      </c>
      <c r="AE712" s="8">
        <f>1.7/14*100</f>
        <v>12.142857142857142</v>
      </c>
      <c r="AF712" s="8">
        <v>0</v>
      </c>
      <c r="AG712" s="8">
        <v>0</v>
      </c>
      <c r="AH712" s="8">
        <v>0</v>
      </c>
      <c r="AI712" s="39" t="s">
        <v>1531</v>
      </c>
      <c r="AJ712" s="7">
        <v>240</v>
      </c>
      <c r="AK712" s="62">
        <v>1423</v>
      </c>
      <c r="AL712" s="158"/>
      <c r="AM712" s="85"/>
      <c r="AN712" s="85"/>
      <c r="AO712" s="85"/>
      <c r="AP712" s="85"/>
      <c r="AQ712" s="85"/>
      <c r="AR712" s="85"/>
      <c r="AS712" s="85"/>
      <c r="AT712" s="205"/>
      <c r="AU712" s="85"/>
      <c r="AV712" s="196"/>
      <c r="AW712" s="85"/>
      <c r="AX712" s="85"/>
      <c r="AY712" s="39"/>
      <c r="AZ712" s="7"/>
      <c r="BA712" s="62"/>
      <c r="BB712" s="7">
        <v>2</v>
      </c>
      <c r="BC712" s="75">
        <v>21.1</v>
      </c>
      <c r="BD712" s="186">
        <v>323</v>
      </c>
      <c r="BE712" s="75">
        <v>7.8</v>
      </c>
      <c r="BF712" s="39"/>
      <c r="BG712" s="7"/>
      <c r="BH712" s="62"/>
      <c r="BI712" s="7"/>
      <c r="BJ712" s="32"/>
      <c r="BK712" s="256"/>
    </row>
    <row r="713" spans="1:63" ht="23.25" customHeight="1" thickBot="1" x14ac:dyDescent="0.25">
      <c r="A713" s="7">
        <v>712</v>
      </c>
      <c r="B713" s="222"/>
      <c r="C713" s="222"/>
      <c r="D713" s="54" t="s">
        <v>181</v>
      </c>
      <c r="E713" s="54"/>
      <c r="F713" s="16">
        <v>81.714285714285708</v>
      </c>
      <c r="G713" s="8">
        <v>11.142857142857142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17">
        <v>0</v>
      </c>
      <c r="T713" s="8">
        <v>3.5714285714285712</v>
      </c>
      <c r="U713" s="8">
        <v>0</v>
      </c>
      <c r="V713" s="8">
        <v>0</v>
      </c>
      <c r="W713" s="8">
        <v>3.5714285714285712</v>
      </c>
      <c r="X713" s="8">
        <v>0</v>
      </c>
      <c r="Y713" s="8">
        <v>0</v>
      </c>
      <c r="Z713" s="8">
        <v>0</v>
      </c>
      <c r="AA713" s="8">
        <v>0</v>
      </c>
      <c r="AB713" s="8">
        <v>0</v>
      </c>
      <c r="AC713" s="8">
        <v>0</v>
      </c>
      <c r="AD713" s="14">
        <f t="shared" si="46"/>
        <v>99.999999999999986</v>
      </c>
      <c r="AE713" s="8">
        <f>1.6/14*100</f>
        <v>11.428571428571429</v>
      </c>
      <c r="AF713" s="8">
        <v>0</v>
      </c>
      <c r="AG713" s="8">
        <v>0</v>
      </c>
      <c r="AH713" s="8">
        <v>0</v>
      </c>
      <c r="AI713" s="39" t="s">
        <v>1531</v>
      </c>
      <c r="AJ713" s="7">
        <v>240</v>
      </c>
      <c r="AK713" s="62">
        <v>1423</v>
      </c>
      <c r="AL713" s="158"/>
      <c r="AM713" s="85"/>
      <c r="AN713" s="85"/>
      <c r="AO713" s="85"/>
      <c r="AP713" s="85"/>
      <c r="AQ713" s="85"/>
      <c r="AR713" s="85"/>
      <c r="AS713" s="85"/>
      <c r="AT713" s="205"/>
      <c r="AU713" s="85"/>
      <c r="AV713" s="196"/>
      <c r="AW713" s="85"/>
      <c r="AX713" s="85"/>
      <c r="AY713" s="39"/>
      <c r="AZ713" s="7"/>
      <c r="BA713" s="62"/>
      <c r="BB713" s="7">
        <v>2</v>
      </c>
      <c r="BC713" s="75">
        <v>22.1</v>
      </c>
      <c r="BD713" s="186">
        <v>325</v>
      </c>
      <c r="BE713" s="75">
        <v>7.8</v>
      </c>
      <c r="BF713" s="39"/>
      <c r="BG713" s="7"/>
      <c r="BH713" s="62"/>
      <c r="BI713" s="7"/>
      <c r="BJ713" s="32"/>
      <c r="BK713" s="256"/>
    </row>
    <row r="714" spans="1:63" s="4" customFormat="1" ht="23.25" customHeight="1" thickBot="1" x14ac:dyDescent="0.25">
      <c r="A714" s="62">
        <v>713</v>
      </c>
      <c r="B714" s="238">
        <v>434</v>
      </c>
      <c r="C714" s="238" t="s">
        <v>1835</v>
      </c>
      <c r="D714" s="12" t="s">
        <v>182</v>
      </c>
      <c r="E714" s="12"/>
      <c r="F714" s="87">
        <v>78.911564625850332</v>
      </c>
      <c r="G714" s="88">
        <v>0</v>
      </c>
      <c r="H714" s="88">
        <v>9.5238095238095237</v>
      </c>
      <c r="I714" s="88">
        <v>0</v>
      </c>
      <c r="J714" s="88">
        <v>0</v>
      </c>
      <c r="K714" s="88">
        <v>0</v>
      </c>
      <c r="L714" s="88">
        <v>0</v>
      </c>
      <c r="M714" s="88">
        <v>0</v>
      </c>
      <c r="N714" s="88">
        <v>0</v>
      </c>
      <c r="O714" s="88">
        <v>0</v>
      </c>
      <c r="P714" s="88">
        <v>0</v>
      </c>
      <c r="Q714" s="88">
        <v>0</v>
      </c>
      <c r="R714" s="88">
        <v>0</v>
      </c>
      <c r="S714" s="89">
        <v>0</v>
      </c>
      <c r="T714" s="88">
        <v>11.564625850340136</v>
      </c>
      <c r="U714" s="88">
        <v>0</v>
      </c>
      <c r="V714" s="88">
        <v>0</v>
      </c>
      <c r="W714" s="88">
        <v>0</v>
      </c>
      <c r="X714" s="88">
        <v>0</v>
      </c>
      <c r="Y714" s="88">
        <v>0</v>
      </c>
      <c r="Z714" s="88">
        <v>0</v>
      </c>
      <c r="AA714" s="88">
        <v>0</v>
      </c>
      <c r="AB714" s="88">
        <v>0</v>
      </c>
      <c r="AC714" s="88">
        <v>0</v>
      </c>
      <c r="AD714" s="90">
        <f t="shared" si="46"/>
        <v>99.999999999999986</v>
      </c>
      <c r="AE714" s="88">
        <v>0</v>
      </c>
      <c r="AF714" s="88">
        <v>0</v>
      </c>
      <c r="AG714" s="88">
        <v>0</v>
      </c>
      <c r="AH714" s="88">
        <v>0</v>
      </c>
      <c r="AI714" s="156" t="s">
        <v>1531</v>
      </c>
      <c r="AJ714" s="45">
        <v>36</v>
      </c>
      <c r="AK714" s="91">
        <v>1248</v>
      </c>
      <c r="AL714" s="197"/>
      <c r="AM714" s="189">
        <v>0</v>
      </c>
      <c r="AN714" s="189"/>
      <c r="AO714" s="189"/>
      <c r="AP714" s="189"/>
      <c r="AQ714" s="189"/>
      <c r="AR714" s="189"/>
      <c r="AS714" s="189"/>
      <c r="AT714" s="198"/>
      <c r="AU714" s="189"/>
      <c r="AV714" s="199">
        <f>SUM(AL714:AT714)</f>
        <v>0</v>
      </c>
      <c r="AW714" s="189"/>
      <c r="AX714" s="189"/>
      <c r="AY714" s="156">
        <v>0.02</v>
      </c>
      <c r="AZ714" s="45">
        <v>196</v>
      </c>
      <c r="BA714" s="91"/>
      <c r="BB714" s="45" t="s">
        <v>1014</v>
      </c>
      <c r="BC714" s="187" t="s">
        <v>1015</v>
      </c>
      <c r="BD714" s="187" t="s">
        <v>1017</v>
      </c>
      <c r="BE714" s="187"/>
      <c r="BF714" s="156"/>
      <c r="BG714" s="45"/>
      <c r="BH714" s="91"/>
      <c r="BI714" s="45"/>
      <c r="BJ714" s="67"/>
      <c r="BK714" s="256"/>
    </row>
    <row r="715" spans="1:63" ht="23.25" customHeight="1" thickBot="1" x14ac:dyDescent="0.25">
      <c r="A715" s="7">
        <v>714</v>
      </c>
      <c r="B715" s="221"/>
      <c r="C715" s="221"/>
      <c r="D715" s="54" t="s">
        <v>183</v>
      </c>
      <c r="E715" s="54"/>
      <c r="F715" s="16">
        <v>78.911564625850332</v>
      </c>
      <c r="G715" s="8">
        <v>0.6802721088435375</v>
      </c>
      <c r="H715" s="8">
        <v>8.8435374149659864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17">
        <v>0</v>
      </c>
      <c r="T715" s="8">
        <v>11.564625850340136</v>
      </c>
      <c r="U715" s="8">
        <v>0</v>
      </c>
      <c r="V715" s="8">
        <v>0</v>
      </c>
      <c r="W715" s="8">
        <v>0</v>
      </c>
      <c r="X715" s="8">
        <v>0</v>
      </c>
      <c r="Y715" s="8">
        <v>0</v>
      </c>
      <c r="Z715" s="8">
        <v>0</v>
      </c>
      <c r="AA715" s="8">
        <v>0</v>
      </c>
      <c r="AB715" s="8">
        <v>0</v>
      </c>
      <c r="AC715" s="8">
        <v>0</v>
      </c>
      <c r="AD715" s="14">
        <f t="shared" si="46"/>
        <v>99.999999999999986</v>
      </c>
      <c r="AE715" s="8">
        <v>0</v>
      </c>
      <c r="AF715" s="8">
        <v>0</v>
      </c>
      <c r="AG715" s="8">
        <v>0</v>
      </c>
      <c r="AH715" s="8">
        <v>0</v>
      </c>
      <c r="AI715" s="39" t="s">
        <v>1531</v>
      </c>
      <c r="AJ715" s="7">
        <v>36</v>
      </c>
      <c r="AK715" s="62">
        <v>1198</v>
      </c>
      <c r="AL715" s="158"/>
      <c r="AM715" s="85">
        <v>0</v>
      </c>
      <c r="AN715" s="85"/>
      <c r="AO715" s="85"/>
      <c r="AP715" s="85"/>
      <c r="AQ715" s="85"/>
      <c r="AR715" s="85"/>
      <c r="AS715" s="85"/>
      <c r="AT715" s="205"/>
      <c r="AU715" s="85"/>
      <c r="AV715" s="196">
        <f>SUM(AL715:AT715)</f>
        <v>0</v>
      </c>
      <c r="AW715" s="85"/>
      <c r="AX715" s="85"/>
      <c r="AY715" s="39">
        <v>0.02</v>
      </c>
      <c r="AZ715" s="7">
        <v>201</v>
      </c>
      <c r="BA715" s="62"/>
      <c r="BB715" s="7" t="s">
        <v>1014</v>
      </c>
      <c r="BC715" s="75" t="s">
        <v>647</v>
      </c>
      <c r="BD715" s="75" t="s">
        <v>1018</v>
      </c>
      <c r="BE715" s="75"/>
      <c r="BF715" s="39"/>
      <c r="BG715" s="7"/>
      <c r="BH715" s="62"/>
      <c r="BI715" s="7"/>
      <c r="BJ715" s="32"/>
      <c r="BK715" s="256"/>
    </row>
    <row r="716" spans="1:63" s="6" customFormat="1" ht="23.25" customHeight="1" thickBot="1" x14ac:dyDescent="0.25">
      <c r="A716" s="62">
        <v>715</v>
      </c>
      <c r="B716" s="222"/>
      <c r="C716" s="222"/>
      <c r="D716" s="13" t="s">
        <v>184</v>
      </c>
      <c r="E716" s="13"/>
      <c r="F716" s="80">
        <v>78.911564625850332</v>
      </c>
      <c r="G716" s="81">
        <v>2.72108843537415</v>
      </c>
      <c r="H716" s="81">
        <v>6.8027210884353746</v>
      </c>
      <c r="I716" s="81">
        <v>0</v>
      </c>
      <c r="J716" s="81">
        <v>0</v>
      </c>
      <c r="K716" s="81">
        <v>0</v>
      </c>
      <c r="L716" s="81">
        <v>0</v>
      </c>
      <c r="M716" s="81">
        <v>0</v>
      </c>
      <c r="N716" s="81">
        <v>0</v>
      </c>
      <c r="O716" s="81">
        <v>0</v>
      </c>
      <c r="P716" s="81">
        <v>0</v>
      </c>
      <c r="Q716" s="81">
        <v>0</v>
      </c>
      <c r="R716" s="81">
        <v>0</v>
      </c>
      <c r="S716" s="82">
        <v>0</v>
      </c>
      <c r="T716" s="81">
        <v>11.564625850340136</v>
      </c>
      <c r="U716" s="81">
        <v>0</v>
      </c>
      <c r="V716" s="81">
        <v>0</v>
      </c>
      <c r="W716" s="81">
        <v>0</v>
      </c>
      <c r="X716" s="81">
        <v>0</v>
      </c>
      <c r="Y716" s="81">
        <v>0</v>
      </c>
      <c r="Z716" s="81">
        <v>0</v>
      </c>
      <c r="AA716" s="81">
        <v>0</v>
      </c>
      <c r="AB716" s="81">
        <v>0</v>
      </c>
      <c r="AC716" s="81">
        <v>0</v>
      </c>
      <c r="AD716" s="83">
        <f t="shared" si="46"/>
        <v>100</v>
      </c>
      <c r="AE716" s="81">
        <v>0</v>
      </c>
      <c r="AF716" s="81">
        <v>0</v>
      </c>
      <c r="AG716" s="81">
        <v>0</v>
      </c>
      <c r="AH716" s="81">
        <v>0</v>
      </c>
      <c r="AI716" s="79" t="s">
        <v>1531</v>
      </c>
      <c r="AJ716" s="65">
        <v>36</v>
      </c>
      <c r="AK716" s="78">
        <v>1248</v>
      </c>
      <c r="AL716" s="200"/>
      <c r="AM716" s="190">
        <v>0</v>
      </c>
      <c r="AN716" s="190"/>
      <c r="AO716" s="190"/>
      <c r="AP716" s="190"/>
      <c r="AQ716" s="190"/>
      <c r="AR716" s="190"/>
      <c r="AS716" s="190"/>
      <c r="AT716" s="201"/>
      <c r="AU716" s="190"/>
      <c r="AV716" s="202">
        <f>SUM(AL716:AT716)</f>
        <v>0</v>
      </c>
      <c r="AW716" s="190"/>
      <c r="AX716" s="190"/>
      <c r="AY716" s="79">
        <v>0.02</v>
      </c>
      <c r="AZ716" s="65">
        <v>182</v>
      </c>
      <c r="BA716" s="78"/>
      <c r="BB716" s="65" t="s">
        <v>1014</v>
      </c>
      <c r="BC716" s="188" t="s">
        <v>1016</v>
      </c>
      <c r="BD716" s="188" t="s">
        <v>1019</v>
      </c>
      <c r="BE716" s="188" t="s">
        <v>1020</v>
      </c>
      <c r="BF716" s="79"/>
      <c r="BG716" s="65"/>
      <c r="BH716" s="78"/>
      <c r="BI716" s="65"/>
      <c r="BJ716" s="68"/>
      <c r="BK716" s="256"/>
    </row>
    <row r="717" spans="1:63" ht="23.25" customHeight="1" thickBot="1" x14ac:dyDescent="0.25">
      <c r="A717" s="7">
        <v>716</v>
      </c>
      <c r="B717" s="238">
        <v>213</v>
      </c>
      <c r="C717" s="238" t="s">
        <v>1836</v>
      </c>
      <c r="D717" s="225" t="s">
        <v>483</v>
      </c>
      <c r="E717" s="54" t="s">
        <v>323</v>
      </c>
      <c r="F717" s="16">
        <v>73.333333333333343</v>
      </c>
      <c r="G717" s="8">
        <v>18.333333333333336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17">
        <v>0</v>
      </c>
      <c r="T717" s="8">
        <v>8.3333333333333321</v>
      </c>
      <c r="U717" s="8">
        <v>0</v>
      </c>
      <c r="V717" s="8">
        <v>0</v>
      </c>
      <c r="W717" s="8">
        <v>0</v>
      </c>
      <c r="X717" s="8">
        <v>0</v>
      </c>
      <c r="Y717" s="8">
        <v>0</v>
      </c>
      <c r="Z717" s="8">
        <v>0</v>
      </c>
      <c r="AA717" s="8">
        <v>0</v>
      </c>
      <c r="AB717" s="8">
        <v>0</v>
      </c>
      <c r="AC717" s="8">
        <v>0</v>
      </c>
      <c r="AD717" s="14">
        <f t="shared" si="46"/>
        <v>100.00000000000001</v>
      </c>
      <c r="AE717" s="8">
        <v>0</v>
      </c>
      <c r="AF717" s="8">
        <v>0</v>
      </c>
      <c r="AG717" s="8">
        <v>0</v>
      </c>
      <c r="AH717" s="8">
        <v>0</v>
      </c>
      <c r="AI717" s="39" t="s">
        <v>1531</v>
      </c>
      <c r="AJ717" s="7"/>
      <c r="AK717" s="62"/>
      <c r="AL717" s="158"/>
      <c r="AM717" s="85">
        <v>0</v>
      </c>
      <c r="AN717" s="85"/>
      <c r="AO717" s="85"/>
      <c r="AP717" s="85"/>
      <c r="AQ717" s="85"/>
      <c r="AR717" s="85"/>
      <c r="AS717" s="85"/>
      <c r="AT717" s="205"/>
      <c r="AU717" s="85"/>
      <c r="AV717" s="196"/>
      <c r="AW717" s="85"/>
      <c r="AX717" s="85"/>
      <c r="AY717" s="39">
        <v>0.05</v>
      </c>
      <c r="AZ717" s="7">
        <v>249</v>
      </c>
      <c r="BA717" s="62"/>
      <c r="BB717" s="7">
        <v>1.5</v>
      </c>
      <c r="BC717" s="75">
        <v>2</v>
      </c>
      <c r="BD717" s="75">
        <v>252.1</v>
      </c>
      <c r="BE717" s="75">
        <v>40.200000000000003</v>
      </c>
      <c r="BF717" s="39"/>
      <c r="BG717" s="7"/>
      <c r="BH717" s="62"/>
      <c r="BI717" s="7"/>
      <c r="BJ717" s="32"/>
      <c r="BK717" s="256"/>
    </row>
    <row r="718" spans="1:63" ht="23.25" customHeight="1" thickBot="1" x14ac:dyDescent="0.25">
      <c r="A718" s="62">
        <v>717</v>
      </c>
      <c r="B718" s="221"/>
      <c r="C718" s="221"/>
      <c r="D718" s="223"/>
      <c r="E718" s="54" t="s">
        <v>271</v>
      </c>
      <c r="F718" s="16">
        <v>81.666666666666671</v>
      </c>
      <c r="G718" s="8">
        <v>10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17">
        <v>0</v>
      </c>
      <c r="T718" s="8">
        <v>8.3333333333333321</v>
      </c>
      <c r="U718" s="8">
        <v>0</v>
      </c>
      <c r="V718" s="8">
        <v>0</v>
      </c>
      <c r="W718" s="8">
        <v>0</v>
      </c>
      <c r="X718" s="8">
        <v>0</v>
      </c>
      <c r="Y718" s="8">
        <v>0</v>
      </c>
      <c r="Z718" s="8">
        <v>0</v>
      </c>
      <c r="AA718" s="8">
        <v>0</v>
      </c>
      <c r="AB718" s="8">
        <v>0</v>
      </c>
      <c r="AC718" s="8">
        <v>0</v>
      </c>
      <c r="AD718" s="14">
        <f t="shared" si="46"/>
        <v>100</v>
      </c>
      <c r="AE718" s="8">
        <v>0</v>
      </c>
      <c r="AF718" s="8">
        <v>0</v>
      </c>
      <c r="AG718" s="8">
        <v>0</v>
      </c>
      <c r="AH718" s="8">
        <v>0</v>
      </c>
      <c r="AI718" s="39" t="s">
        <v>1531</v>
      </c>
      <c r="AJ718" s="7">
        <v>100</v>
      </c>
      <c r="AK718" s="62">
        <v>1373</v>
      </c>
      <c r="AL718" s="158"/>
      <c r="AM718" s="85"/>
      <c r="AN718" s="85"/>
      <c r="AO718" s="85"/>
      <c r="AP718" s="85"/>
      <c r="AQ718" s="85"/>
      <c r="AR718" s="85"/>
      <c r="AS718" s="85"/>
      <c r="AT718" s="205"/>
      <c r="AU718" s="85"/>
      <c r="AV718" s="196"/>
      <c r="AW718" s="85"/>
      <c r="AX718" s="85"/>
      <c r="AY718" s="39">
        <v>0.05</v>
      </c>
      <c r="AZ718" s="7">
        <v>187</v>
      </c>
      <c r="BA718" s="62"/>
      <c r="BB718" s="7">
        <v>1.5</v>
      </c>
      <c r="BC718" s="75">
        <v>14.8</v>
      </c>
      <c r="BD718" s="75">
        <v>196.1</v>
      </c>
      <c r="BE718" s="75">
        <v>6.7</v>
      </c>
      <c r="BF718" s="39"/>
      <c r="BG718" s="7"/>
      <c r="BH718" s="62"/>
      <c r="BI718" s="7"/>
      <c r="BJ718" s="32"/>
      <c r="BK718" s="256"/>
    </row>
    <row r="719" spans="1:63" ht="23.25" customHeight="1" thickBot="1" x14ac:dyDescent="0.25">
      <c r="A719" s="7">
        <v>718</v>
      </c>
      <c r="B719" s="222"/>
      <c r="C719" s="222"/>
      <c r="D719" s="224"/>
      <c r="E719" s="54" t="s">
        <v>270</v>
      </c>
      <c r="F719" s="16">
        <v>80</v>
      </c>
      <c r="G719" s="8">
        <v>11.666666666666666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17">
        <v>0</v>
      </c>
      <c r="T719" s="8">
        <v>8.3333333333333321</v>
      </c>
      <c r="U719" s="8">
        <v>0</v>
      </c>
      <c r="V719" s="8">
        <v>0</v>
      </c>
      <c r="W719" s="8">
        <v>0</v>
      </c>
      <c r="X719" s="8">
        <v>0</v>
      </c>
      <c r="Y719" s="8">
        <v>0</v>
      </c>
      <c r="Z719" s="8">
        <v>0</v>
      </c>
      <c r="AA719" s="8">
        <v>0</v>
      </c>
      <c r="AB719" s="8">
        <v>0</v>
      </c>
      <c r="AC719" s="8">
        <v>0</v>
      </c>
      <c r="AD719" s="14">
        <f t="shared" si="46"/>
        <v>100</v>
      </c>
      <c r="AE719" s="8">
        <v>0</v>
      </c>
      <c r="AF719" s="8">
        <v>0</v>
      </c>
      <c r="AG719" s="8">
        <v>0</v>
      </c>
      <c r="AH719" s="8">
        <v>0</v>
      </c>
      <c r="AI719" s="39" t="s">
        <v>1531</v>
      </c>
      <c r="AJ719" s="7">
        <v>100</v>
      </c>
      <c r="AK719" s="62">
        <v>1373</v>
      </c>
      <c r="AL719" s="158"/>
      <c r="AM719" s="85">
        <v>0</v>
      </c>
      <c r="AN719" s="85"/>
      <c r="AO719" s="85"/>
      <c r="AP719" s="85"/>
      <c r="AQ719" s="85"/>
      <c r="AR719" s="85"/>
      <c r="AS719" s="85"/>
      <c r="AT719" s="205"/>
      <c r="AU719" s="85"/>
      <c r="AV719" s="196">
        <f>SUM(AL719:AT719)</f>
        <v>0</v>
      </c>
      <c r="AW719" s="85"/>
      <c r="AX719" s="85"/>
      <c r="AY719" s="39">
        <v>0.05</v>
      </c>
      <c r="AZ719" s="7">
        <v>191</v>
      </c>
      <c r="BA719" s="62"/>
      <c r="BB719" s="7"/>
      <c r="BC719" s="75"/>
      <c r="BD719" s="75"/>
      <c r="BE719" s="75"/>
      <c r="BF719" s="39"/>
      <c r="BG719" s="7"/>
      <c r="BH719" s="62"/>
      <c r="BI719" s="7"/>
      <c r="BJ719" s="32"/>
      <c r="BK719" s="256"/>
    </row>
    <row r="720" spans="1:63" s="19" customFormat="1" ht="23.25" customHeight="1" thickBot="1" x14ac:dyDescent="0.25">
      <c r="A720" s="62">
        <v>719</v>
      </c>
      <c r="B720" s="70">
        <v>18</v>
      </c>
      <c r="C720" s="70" t="s">
        <v>1849</v>
      </c>
      <c r="D720" s="21" t="s">
        <v>75</v>
      </c>
      <c r="E720" s="21"/>
      <c r="F720" s="99">
        <v>81.899999999999991</v>
      </c>
      <c r="G720" s="100">
        <v>0</v>
      </c>
      <c r="H720" s="100">
        <v>9.2857142857142865</v>
      </c>
      <c r="I720" s="100">
        <v>0</v>
      </c>
      <c r="J720" s="100">
        <v>1.6714285714285713</v>
      </c>
      <c r="K720" s="100">
        <v>0</v>
      </c>
      <c r="L720" s="100">
        <v>0</v>
      </c>
      <c r="M720" s="100">
        <v>0</v>
      </c>
      <c r="N720" s="100">
        <v>0</v>
      </c>
      <c r="O720" s="100">
        <v>0</v>
      </c>
      <c r="P720" s="100">
        <v>0</v>
      </c>
      <c r="Q720" s="100">
        <v>0</v>
      </c>
      <c r="R720" s="100">
        <v>0</v>
      </c>
      <c r="S720" s="101">
        <v>0</v>
      </c>
      <c r="T720" s="100">
        <v>7.1428571428571423</v>
      </c>
      <c r="U720" s="100">
        <v>0</v>
      </c>
      <c r="V720" s="100">
        <v>0</v>
      </c>
      <c r="W720" s="100">
        <v>0</v>
      </c>
      <c r="X720" s="100">
        <v>0</v>
      </c>
      <c r="Y720" s="100">
        <v>0</v>
      </c>
      <c r="Z720" s="100">
        <v>0</v>
      </c>
      <c r="AA720" s="100">
        <v>0</v>
      </c>
      <c r="AB720" s="100">
        <v>0</v>
      </c>
      <c r="AC720" s="100">
        <v>0</v>
      </c>
      <c r="AD720" s="102">
        <f t="shared" si="46"/>
        <v>100</v>
      </c>
      <c r="AE720" s="100">
        <v>0</v>
      </c>
      <c r="AF720" s="100">
        <v>0</v>
      </c>
      <c r="AG720" s="100">
        <v>0</v>
      </c>
      <c r="AH720" s="100">
        <v>0</v>
      </c>
      <c r="AI720" s="120" t="s">
        <v>1531</v>
      </c>
      <c r="AJ720" s="98">
        <v>720</v>
      </c>
      <c r="AK720" s="105">
        <v>1273</v>
      </c>
      <c r="AL720" s="206"/>
      <c r="AM720" s="194"/>
      <c r="AN720" s="194"/>
      <c r="AO720" s="194"/>
      <c r="AP720" s="194"/>
      <c r="AQ720" s="194"/>
      <c r="AR720" s="194"/>
      <c r="AS720" s="194"/>
      <c r="AT720" s="207"/>
      <c r="AU720" s="194"/>
      <c r="AV720" s="208"/>
      <c r="AW720" s="194"/>
      <c r="AX720" s="194"/>
      <c r="AY720" s="120">
        <v>0.02</v>
      </c>
      <c r="AZ720" s="98">
        <v>198</v>
      </c>
      <c r="BA720" s="105"/>
      <c r="BB720" s="98" t="s">
        <v>524</v>
      </c>
      <c r="BC720" s="191" t="s">
        <v>1021</v>
      </c>
      <c r="BD720" s="191" t="s">
        <v>1022</v>
      </c>
      <c r="BE720" s="191" t="s">
        <v>1023</v>
      </c>
      <c r="BF720" s="120"/>
      <c r="BG720" s="98"/>
      <c r="BH720" s="105"/>
      <c r="BI720" s="98"/>
      <c r="BJ720" s="70"/>
      <c r="BK720" s="21"/>
    </row>
    <row r="721" spans="1:63" ht="23.25" customHeight="1" thickBot="1" x14ac:dyDescent="0.25">
      <c r="A721" s="7">
        <v>720</v>
      </c>
      <c r="B721" s="238">
        <v>45</v>
      </c>
      <c r="C721" s="238" t="s">
        <v>1848</v>
      </c>
      <c r="D721" s="225" t="s">
        <v>264</v>
      </c>
      <c r="E721" s="54" t="s">
        <v>269</v>
      </c>
      <c r="F721" s="16">
        <v>81.428571428571431</v>
      </c>
      <c r="G721" s="8">
        <v>11.428571428571429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17">
        <v>0</v>
      </c>
      <c r="T721" s="8">
        <v>7.1428571428571423</v>
      </c>
      <c r="U721" s="8">
        <v>0</v>
      </c>
      <c r="V721" s="8">
        <v>0</v>
      </c>
      <c r="W721" s="8">
        <v>0</v>
      </c>
      <c r="X721" s="8">
        <v>0</v>
      </c>
      <c r="Y721" s="8">
        <v>0</v>
      </c>
      <c r="Z721" s="8">
        <v>0</v>
      </c>
      <c r="AA721" s="8">
        <v>0</v>
      </c>
      <c r="AB721" s="8">
        <v>0</v>
      </c>
      <c r="AC721" s="8">
        <v>0</v>
      </c>
      <c r="AD721" s="14">
        <f t="shared" si="46"/>
        <v>100</v>
      </c>
      <c r="AE721" s="8">
        <v>0</v>
      </c>
      <c r="AF721" s="8">
        <v>0</v>
      </c>
      <c r="AG721" s="8">
        <v>0</v>
      </c>
      <c r="AH721" s="8">
        <v>0</v>
      </c>
      <c r="AI721" s="39" t="s">
        <v>1531</v>
      </c>
      <c r="AJ721" s="7">
        <v>360</v>
      </c>
      <c r="AK721" s="62">
        <v>1273</v>
      </c>
      <c r="AL721" s="158"/>
      <c r="AM721" s="85"/>
      <c r="AN721" s="85"/>
      <c r="AO721" s="85"/>
      <c r="AP721" s="85"/>
      <c r="AQ721" s="85"/>
      <c r="AR721" s="85"/>
      <c r="AS721" s="85"/>
      <c r="AT721" s="205"/>
      <c r="AU721" s="85"/>
      <c r="AV721" s="196"/>
      <c r="AW721" s="85">
        <v>11.465</v>
      </c>
      <c r="AX721" s="85"/>
      <c r="AY721" s="39"/>
      <c r="AZ721" s="7">
        <v>203</v>
      </c>
      <c r="BA721" s="62"/>
      <c r="BB721" s="7"/>
      <c r="BC721" s="75"/>
      <c r="BD721" s="75"/>
      <c r="BE721" s="75"/>
      <c r="BF721" s="39"/>
      <c r="BG721" s="7"/>
      <c r="BH721" s="62"/>
      <c r="BI721" s="7"/>
      <c r="BJ721" s="32"/>
      <c r="BK721" s="256"/>
    </row>
    <row r="722" spans="1:63" ht="23.25" customHeight="1" thickBot="1" x14ac:dyDescent="0.25">
      <c r="A722" s="62">
        <v>721</v>
      </c>
      <c r="B722" s="221"/>
      <c r="C722" s="221"/>
      <c r="D722" s="223"/>
      <c r="E722" s="54" t="s">
        <v>319</v>
      </c>
      <c r="F722" s="16">
        <v>78.571428571428569</v>
      </c>
      <c r="G722" s="8">
        <v>14.285714285714285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17">
        <v>0</v>
      </c>
      <c r="T722" s="8">
        <v>7.1428571428571423</v>
      </c>
      <c r="U722" s="8">
        <v>0</v>
      </c>
      <c r="V722" s="8">
        <v>0</v>
      </c>
      <c r="W722" s="8">
        <v>0</v>
      </c>
      <c r="X722" s="8">
        <v>0</v>
      </c>
      <c r="Y722" s="8">
        <v>0</v>
      </c>
      <c r="Z722" s="8">
        <v>0</v>
      </c>
      <c r="AA722" s="8">
        <v>0</v>
      </c>
      <c r="AB722" s="8">
        <v>0</v>
      </c>
      <c r="AC722" s="8">
        <v>0</v>
      </c>
      <c r="AD722" s="14">
        <f t="shared" si="46"/>
        <v>100</v>
      </c>
      <c r="AE722" s="8">
        <v>0</v>
      </c>
      <c r="AF722" s="8">
        <v>0</v>
      </c>
      <c r="AG722" s="8">
        <v>0</v>
      </c>
      <c r="AH722" s="8">
        <v>0</v>
      </c>
      <c r="AI722" s="39" t="s">
        <v>1531</v>
      </c>
      <c r="AJ722" s="7">
        <v>360</v>
      </c>
      <c r="AK722" s="62">
        <v>1273</v>
      </c>
      <c r="AL722" s="158"/>
      <c r="AM722" s="85"/>
      <c r="AN722" s="85"/>
      <c r="AO722" s="85"/>
      <c r="AP722" s="85"/>
      <c r="AQ722" s="85"/>
      <c r="AR722" s="85"/>
      <c r="AS722" s="85"/>
      <c r="AT722" s="205"/>
      <c r="AU722" s="85"/>
      <c r="AV722" s="196"/>
      <c r="AW722" s="85">
        <v>11.461</v>
      </c>
      <c r="AX722" s="85"/>
      <c r="AY722" s="39"/>
      <c r="AZ722" s="7">
        <v>235</v>
      </c>
      <c r="BA722" s="62"/>
      <c r="BB722" s="7"/>
      <c r="BC722" s="75"/>
      <c r="BD722" s="75"/>
      <c r="BE722" s="75"/>
      <c r="BF722" s="39"/>
      <c r="BG722" s="7"/>
      <c r="BH722" s="62"/>
      <c r="BI722" s="7"/>
      <c r="BJ722" s="32"/>
      <c r="BK722" s="256"/>
    </row>
    <row r="723" spans="1:63" ht="23.25" customHeight="1" thickBot="1" x14ac:dyDescent="0.25">
      <c r="A723" s="7">
        <v>722</v>
      </c>
      <c r="B723" s="222"/>
      <c r="C723" s="222"/>
      <c r="D723" s="224"/>
      <c r="E723" s="54" t="s">
        <v>476</v>
      </c>
      <c r="F723" s="16">
        <v>74.285714285714292</v>
      </c>
      <c r="G723" s="8">
        <v>18.571428571428573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17">
        <v>0</v>
      </c>
      <c r="T723" s="8">
        <v>7.1428571428571423</v>
      </c>
      <c r="U723" s="8">
        <v>0</v>
      </c>
      <c r="V723" s="8">
        <v>0</v>
      </c>
      <c r="W723" s="8">
        <v>0</v>
      </c>
      <c r="X723" s="8">
        <v>0</v>
      </c>
      <c r="Y723" s="8">
        <v>0</v>
      </c>
      <c r="Z723" s="8">
        <v>0</v>
      </c>
      <c r="AA723" s="8">
        <v>0</v>
      </c>
      <c r="AB723" s="8">
        <v>0</v>
      </c>
      <c r="AC723" s="8">
        <v>0</v>
      </c>
      <c r="AD723" s="14">
        <f t="shared" si="46"/>
        <v>100</v>
      </c>
      <c r="AE723" s="8">
        <v>0</v>
      </c>
      <c r="AF723" s="8">
        <v>0</v>
      </c>
      <c r="AG723" s="8">
        <v>0</v>
      </c>
      <c r="AH723" s="8">
        <v>0</v>
      </c>
      <c r="AI723" s="39" t="s">
        <v>1531</v>
      </c>
      <c r="AJ723" s="7">
        <v>360</v>
      </c>
      <c r="AK723" s="62">
        <v>1273</v>
      </c>
      <c r="AL723" s="158"/>
      <c r="AM723" s="85">
        <v>0</v>
      </c>
      <c r="AN723" s="85"/>
      <c r="AO723" s="85"/>
      <c r="AP723" s="85"/>
      <c r="AQ723" s="85"/>
      <c r="AR723" s="85"/>
      <c r="AS723" s="85"/>
      <c r="AT723" s="205"/>
      <c r="AU723" s="85"/>
      <c r="AV723" s="196">
        <f>SUM(AL723:AT723)</f>
        <v>0</v>
      </c>
      <c r="AW723" s="85">
        <v>11.443</v>
      </c>
      <c r="AX723" s="85"/>
      <c r="AY723" s="39"/>
      <c r="AZ723" s="7">
        <v>249</v>
      </c>
      <c r="BA723" s="62"/>
      <c r="BB723" s="7"/>
      <c r="BC723" s="75"/>
      <c r="BD723" s="75"/>
      <c r="BE723" s="75"/>
      <c r="BF723" s="39"/>
      <c r="BG723" s="7"/>
      <c r="BH723" s="62"/>
      <c r="BI723" s="7"/>
      <c r="BJ723" s="32"/>
      <c r="BK723" s="256"/>
    </row>
    <row r="724" spans="1:63" s="4" customFormat="1" ht="23.25" customHeight="1" thickBot="1" x14ac:dyDescent="0.25">
      <c r="A724" s="62">
        <v>723</v>
      </c>
      <c r="B724" s="238">
        <v>46</v>
      </c>
      <c r="C724" s="238" t="s">
        <v>1830</v>
      </c>
      <c r="D724" s="225" t="s">
        <v>484</v>
      </c>
      <c r="E724" s="12" t="s">
        <v>241</v>
      </c>
      <c r="F724" s="87">
        <v>76.428571428571416</v>
      </c>
      <c r="G724" s="88">
        <v>10.714285714285714</v>
      </c>
      <c r="H724" s="88">
        <v>0</v>
      </c>
      <c r="I724" s="88">
        <v>0</v>
      </c>
      <c r="J724" s="88">
        <v>5.7142857142857144</v>
      </c>
      <c r="K724" s="88">
        <v>0</v>
      </c>
      <c r="L724" s="88">
        <v>0</v>
      </c>
      <c r="M724" s="88">
        <v>0</v>
      </c>
      <c r="N724" s="88">
        <v>0</v>
      </c>
      <c r="O724" s="88">
        <v>0</v>
      </c>
      <c r="P724" s="88">
        <v>0</v>
      </c>
      <c r="Q724" s="88">
        <v>0</v>
      </c>
      <c r="R724" s="88">
        <v>0</v>
      </c>
      <c r="S724" s="89">
        <v>0</v>
      </c>
      <c r="T724" s="88">
        <v>7.1428571428571423</v>
      </c>
      <c r="U724" s="88">
        <v>0</v>
      </c>
      <c r="V724" s="88">
        <v>0</v>
      </c>
      <c r="W724" s="88">
        <v>0</v>
      </c>
      <c r="X724" s="88">
        <v>0</v>
      </c>
      <c r="Y724" s="88">
        <v>0</v>
      </c>
      <c r="Z724" s="88">
        <v>0</v>
      </c>
      <c r="AA724" s="88">
        <v>0</v>
      </c>
      <c r="AB724" s="88">
        <v>0</v>
      </c>
      <c r="AC724" s="88">
        <v>0</v>
      </c>
      <c r="AD724" s="90">
        <f t="shared" si="46"/>
        <v>99.999999999999972</v>
      </c>
      <c r="AE724" s="88">
        <v>0</v>
      </c>
      <c r="AF724" s="88">
        <v>0</v>
      </c>
      <c r="AG724" s="88">
        <v>0</v>
      </c>
      <c r="AH724" s="88">
        <v>0</v>
      </c>
      <c r="AI724" s="156" t="s">
        <v>1531</v>
      </c>
      <c r="AJ724" s="45">
        <v>960</v>
      </c>
      <c r="AK724" s="91">
        <v>1373</v>
      </c>
      <c r="AL724" s="197"/>
      <c r="AM724" s="189"/>
      <c r="AN724" s="189"/>
      <c r="AO724" s="189"/>
      <c r="AP724" s="189"/>
      <c r="AQ724" s="189"/>
      <c r="AR724" s="189"/>
      <c r="AS724" s="189"/>
      <c r="AT724" s="198"/>
      <c r="AU724" s="189"/>
      <c r="AV724" s="199"/>
      <c r="AW724" s="189">
        <v>11.48</v>
      </c>
      <c r="AX724" s="189"/>
      <c r="AY724" s="156">
        <v>0.01</v>
      </c>
      <c r="AZ724" s="45">
        <v>285.10000000000002</v>
      </c>
      <c r="BA724" s="91"/>
      <c r="BB724" s="45" t="s">
        <v>524</v>
      </c>
      <c r="BC724" s="187" t="s">
        <v>1024</v>
      </c>
      <c r="BD724" s="187" t="s">
        <v>1025</v>
      </c>
      <c r="BE724" s="187" t="s">
        <v>1029</v>
      </c>
      <c r="BF724" s="156"/>
      <c r="BG724" s="45"/>
      <c r="BH724" s="91"/>
      <c r="BI724" s="45"/>
      <c r="BJ724" s="67"/>
      <c r="BK724" s="256"/>
    </row>
    <row r="725" spans="1:63" ht="23.25" customHeight="1" thickBot="1" x14ac:dyDescent="0.25">
      <c r="A725" s="7">
        <v>724</v>
      </c>
      <c r="B725" s="221"/>
      <c r="C725" s="221"/>
      <c r="D725" s="223"/>
      <c r="E725" s="54" t="s">
        <v>248</v>
      </c>
      <c r="F725" s="16">
        <v>76.428571428571416</v>
      </c>
      <c r="G725" s="8">
        <v>10.714285714285714</v>
      </c>
      <c r="H725" s="8">
        <v>0</v>
      </c>
      <c r="I725" s="8">
        <v>0</v>
      </c>
      <c r="J725" s="8">
        <v>5.7142857142857144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17">
        <v>0</v>
      </c>
      <c r="T725" s="8">
        <v>6.4285714285714297</v>
      </c>
      <c r="U725" s="8">
        <v>0</v>
      </c>
      <c r="V725" s="8">
        <v>0</v>
      </c>
      <c r="W725" s="8">
        <v>0.7142857142857143</v>
      </c>
      <c r="X725" s="8">
        <v>0</v>
      </c>
      <c r="Y725" s="8">
        <v>0</v>
      </c>
      <c r="Z725" s="8">
        <v>0</v>
      </c>
      <c r="AA725" s="8">
        <v>0</v>
      </c>
      <c r="AB725" s="8">
        <v>0</v>
      </c>
      <c r="AC725" s="8">
        <v>0</v>
      </c>
      <c r="AD725" s="14">
        <f t="shared" si="46"/>
        <v>99.999999999999972</v>
      </c>
      <c r="AE725" s="8">
        <v>0</v>
      </c>
      <c r="AF725" s="8">
        <v>0</v>
      </c>
      <c r="AG725" s="8">
        <v>0</v>
      </c>
      <c r="AH725" s="8">
        <v>0</v>
      </c>
      <c r="AI725" s="39" t="s">
        <v>1531</v>
      </c>
      <c r="AJ725" s="7">
        <v>960</v>
      </c>
      <c r="AK725" s="62">
        <v>1373</v>
      </c>
      <c r="AL725" s="158"/>
      <c r="AM725" s="85"/>
      <c r="AN725" s="85"/>
      <c r="AO725" s="85"/>
      <c r="AP725" s="85"/>
      <c r="AQ725" s="85"/>
      <c r="AR725" s="85"/>
      <c r="AS725" s="85"/>
      <c r="AT725" s="205"/>
      <c r="AU725" s="85"/>
      <c r="AV725" s="196"/>
      <c r="AW725" s="85">
        <v>11.473000000000001</v>
      </c>
      <c r="AX725" s="85"/>
      <c r="AY725" s="39">
        <v>0.01</v>
      </c>
      <c r="AZ725" s="7">
        <v>283.10000000000002</v>
      </c>
      <c r="BA725" s="62"/>
      <c r="BB725" s="7"/>
      <c r="BC725" s="75"/>
      <c r="BD725" s="75"/>
      <c r="BE725" s="75"/>
      <c r="BF725" s="39"/>
      <c r="BG725" s="7"/>
      <c r="BH725" s="62"/>
      <c r="BI725" s="7"/>
      <c r="BJ725" s="32"/>
      <c r="BK725" s="256"/>
    </row>
    <row r="726" spans="1:63" ht="23.25" customHeight="1" thickBot="1" x14ac:dyDescent="0.25">
      <c r="A726" s="62">
        <v>725</v>
      </c>
      <c r="B726" s="221"/>
      <c r="C726" s="221"/>
      <c r="D726" s="223"/>
      <c r="E726" s="54" t="s">
        <v>249</v>
      </c>
      <c r="F726" s="16">
        <v>76.428571428571416</v>
      </c>
      <c r="G726" s="8">
        <v>10.714285714285714</v>
      </c>
      <c r="H726" s="8">
        <v>0</v>
      </c>
      <c r="I726" s="8">
        <v>0</v>
      </c>
      <c r="J726" s="8">
        <v>5.7142857142857144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17">
        <v>0</v>
      </c>
      <c r="T726" s="8">
        <v>5.7142857142857144</v>
      </c>
      <c r="U726" s="8">
        <v>0</v>
      </c>
      <c r="V726" s="8">
        <v>0</v>
      </c>
      <c r="W726" s="8">
        <v>1.4285714285714286</v>
      </c>
      <c r="X726" s="8">
        <v>0</v>
      </c>
      <c r="Y726" s="8">
        <v>0</v>
      </c>
      <c r="Z726" s="8">
        <v>0</v>
      </c>
      <c r="AA726" s="8">
        <v>0</v>
      </c>
      <c r="AB726" s="8">
        <v>0</v>
      </c>
      <c r="AC726" s="8">
        <v>0</v>
      </c>
      <c r="AD726" s="14">
        <f t="shared" si="46"/>
        <v>99.999999999999972</v>
      </c>
      <c r="AE726" s="8">
        <v>0</v>
      </c>
      <c r="AF726" s="8">
        <v>0</v>
      </c>
      <c r="AG726" s="8">
        <v>0</v>
      </c>
      <c r="AH726" s="8">
        <v>0</v>
      </c>
      <c r="AI726" s="39" t="s">
        <v>1531</v>
      </c>
      <c r="AJ726" s="7">
        <v>960</v>
      </c>
      <c r="AK726" s="62">
        <v>1373</v>
      </c>
      <c r="AL726" s="158"/>
      <c r="AM726" s="85"/>
      <c r="AN726" s="85"/>
      <c r="AO726" s="85"/>
      <c r="AP726" s="85"/>
      <c r="AQ726" s="85"/>
      <c r="AR726" s="85"/>
      <c r="AS726" s="85"/>
      <c r="AT726" s="205"/>
      <c r="AU726" s="85"/>
      <c r="AV726" s="196"/>
      <c r="AW726" s="85">
        <v>11.467000000000001</v>
      </c>
      <c r="AX726" s="85"/>
      <c r="AY726" s="39">
        <v>0.01</v>
      </c>
      <c r="AZ726" s="7">
        <v>280.10000000000002</v>
      </c>
      <c r="BA726" s="62"/>
      <c r="BB726" s="7" t="s">
        <v>524</v>
      </c>
      <c r="BC726" s="75" t="s">
        <v>989</v>
      </c>
      <c r="BD726" s="75" t="s">
        <v>1026</v>
      </c>
      <c r="BE726" s="75" t="s">
        <v>1030</v>
      </c>
      <c r="BF726" s="39"/>
      <c r="BG726" s="7"/>
      <c r="BH726" s="62"/>
      <c r="BI726" s="7"/>
      <c r="BJ726" s="32"/>
      <c r="BK726" s="256"/>
    </row>
    <row r="727" spans="1:63" ht="23.25" customHeight="1" thickBot="1" x14ac:dyDescent="0.25">
      <c r="A727" s="7">
        <v>726</v>
      </c>
      <c r="B727" s="221"/>
      <c r="C727" s="221"/>
      <c r="D727" s="223"/>
      <c r="E727" s="54" t="s">
        <v>242</v>
      </c>
      <c r="F727" s="16">
        <v>76.428571428571416</v>
      </c>
      <c r="G727" s="8">
        <v>10.714285714285714</v>
      </c>
      <c r="H727" s="8">
        <v>0</v>
      </c>
      <c r="I727" s="8">
        <v>0</v>
      </c>
      <c r="J727" s="8">
        <v>5.7142857142857144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17">
        <v>0</v>
      </c>
      <c r="T727" s="8">
        <v>5</v>
      </c>
      <c r="U727" s="8">
        <v>0</v>
      </c>
      <c r="V727" s="8">
        <v>0</v>
      </c>
      <c r="W727" s="8">
        <v>2.1428571428571428</v>
      </c>
      <c r="X727" s="8">
        <v>0</v>
      </c>
      <c r="Y727" s="8">
        <v>0</v>
      </c>
      <c r="Z727" s="8">
        <v>0</v>
      </c>
      <c r="AA727" s="8">
        <v>0</v>
      </c>
      <c r="AB727" s="8">
        <v>0</v>
      </c>
      <c r="AC727" s="8">
        <v>0</v>
      </c>
      <c r="AD727" s="14">
        <f t="shared" si="46"/>
        <v>99.999999999999972</v>
      </c>
      <c r="AE727" s="8">
        <v>0</v>
      </c>
      <c r="AF727" s="8">
        <v>0</v>
      </c>
      <c r="AG727" s="8">
        <v>0</v>
      </c>
      <c r="AH727" s="8">
        <v>0</v>
      </c>
      <c r="AI727" s="39" t="s">
        <v>1531</v>
      </c>
      <c r="AJ727" s="7">
        <v>960</v>
      </c>
      <c r="AK727" s="62">
        <v>1373</v>
      </c>
      <c r="AL727" s="158"/>
      <c r="AM727" s="85"/>
      <c r="AN727" s="85"/>
      <c r="AO727" s="85"/>
      <c r="AP727" s="85"/>
      <c r="AQ727" s="85"/>
      <c r="AR727" s="85"/>
      <c r="AS727" s="85"/>
      <c r="AT727" s="205"/>
      <c r="AU727" s="85"/>
      <c r="AV727" s="196"/>
      <c r="AW727" s="85">
        <v>11.461</v>
      </c>
      <c r="AX727" s="85"/>
      <c r="AY727" s="39">
        <v>0.01</v>
      </c>
      <c r="AZ727" s="7">
        <v>279.10000000000002</v>
      </c>
      <c r="BA727" s="62"/>
      <c r="BB727" s="7"/>
      <c r="BC727" s="75"/>
      <c r="BD727" s="75"/>
      <c r="BE727" s="75"/>
      <c r="BF727" s="39"/>
      <c r="BG727" s="7"/>
      <c r="BH727" s="62"/>
      <c r="BI727" s="7"/>
      <c r="BJ727" s="32"/>
      <c r="BK727" s="256"/>
    </row>
    <row r="728" spans="1:63" ht="23.25" customHeight="1" thickBot="1" x14ac:dyDescent="0.25">
      <c r="A728" s="62">
        <v>727</v>
      </c>
      <c r="B728" s="221"/>
      <c r="C728" s="221"/>
      <c r="D728" s="223"/>
      <c r="E728" s="54" t="s">
        <v>243</v>
      </c>
      <c r="F728" s="16">
        <v>76.428571428571416</v>
      </c>
      <c r="G728" s="8">
        <v>10.714285714285714</v>
      </c>
      <c r="H728" s="8">
        <v>0</v>
      </c>
      <c r="I728" s="8">
        <v>0</v>
      </c>
      <c r="J728" s="8">
        <v>5.7142857142857144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17">
        <v>0</v>
      </c>
      <c r="T728" s="8">
        <v>4.2857142857142856</v>
      </c>
      <c r="U728" s="8">
        <v>0</v>
      </c>
      <c r="V728" s="8">
        <v>0</v>
      </c>
      <c r="W728" s="8">
        <v>2.8571428571428572</v>
      </c>
      <c r="X728" s="8">
        <v>0</v>
      </c>
      <c r="Y728" s="8">
        <v>0</v>
      </c>
      <c r="Z728" s="8">
        <v>0</v>
      </c>
      <c r="AA728" s="8">
        <v>0</v>
      </c>
      <c r="AB728" s="8">
        <v>0</v>
      </c>
      <c r="AC728" s="8">
        <v>0</v>
      </c>
      <c r="AD728" s="14">
        <f t="shared" si="46"/>
        <v>99.999999999999986</v>
      </c>
      <c r="AE728" s="8">
        <v>0</v>
      </c>
      <c r="AF728" s="8">
        <v>0</v>
      </c>
      <c r="AG728" s="8">
        <v>0</v>
      </c>
      <c r="AH728" s="8">
        <v>0</v>
      </c>
      <c r="AI728" s="39" t="s">
        <v>1531</v>
      </c>
      <c r="AJ728" s="7">
        <v>960</v>
      </c>
      <c r="AK728" s="62">
        <v>1373</v>
      </c>
      <c r="AL728" s="158"/>
      <c r="AM728" s="85"/>
      <c r="AN728" s="85"/>
      <c r="AO728" s="85"/>
      <c r="AP728" s="85"/>
      <c r="AQ728" s="85"/>
      <c r="AR728" s="85"/>
      <c r="AS728" s="85"/>
      <c r="AT728" s="205"/>
      <c r="AU728" s="85"/>
      <c r="AV728" s="196"/>
      <c r="AW728" s="85">
        <v>11.454000000000001</v>
      </c>
      <c r="AX728" s="85"/>
      <c r="AY728" s="39">
        <v>0.01</v>
      </c>
      <c r="AZ728" s="7">
        <v>274.2</v>
      </c>
      <c r="BA728" s="62"/>
      <c r="BB728" s="7" t="s">
        <v>524</v>
      </c>
      <c r="BC728" s="75" t="s">
        <v>990</v>
      </c>
      <c r="BD728" s="75" t="s">
        <v>1028</v>
      </c>
      <c r="BE728" s="75" t="s">
        <v>1031</v>
      </c>
      <c r="BF728" s="39"/>
      <c r="BG728" s="7"/>
      <c r="BH728" s="62"/>
      <c r="BI728" s="7"/>
      <c r="BJ728" s="32"/>
      <c r="BK728" s="256"/>
    </row>
    <row r="729" spans="1:63" s="6" customFormat="1" ht="23.25" customHeight="1" thickBot="1" x14ac:dyDescent="0.25">
      <c r="A729" s="7">
        <v>728</v>
      </c>
      <c r="B729" s="222"/>
      <c r="C729" s="222"/>
      <c r="D729" s="224"/>
      <c r="E729" s="13" t="s">
        <v>244</v>
      </c>
      <c r="F729" s="80">
        <v>76.428571428571416</v>
      </c>
      <c r="G729" s="81">
        <v>10.714285714285714</v>
      </c>
      <c r="H729" s="81">
        <v>0</v>
      </c>
      <c r="I729" s="81">
        <v>0</v>
      </c>
      <c r="J729" s="81">
        <v>5.7142857142857144</v>
      </c>
      <c r="K729" s="81">
        <v>0</v>
      </c>
      <c r="L729" s="81">
        <v>0</v>
      </c>
      <c r="M729" s="81">
        <v>0</v>
      </c>
      <c r="N729" s="81">
        <v>0</v>
      </c>
      <c r="O729" s="81">
        <v>0</v>
      </c>
      <c r="P729" s="81">
        <v>0</v>
      </c>
      <c r="Q729" s="81">
        <v>0</v>
      </c>
      <c r="R729" s="81">
        <v>0</v>
      </c>
      <c r="S729" s="82">
        <v>0</v>
      </c>
      <c r="T729" s="81">
        <v>3.5714285714285712</v>
      </c>
      <c r="U729" s="81">
        <v>0</v>
      </c>
      <c r="V729" s="81">
        <v>0</v>
      </c>
      <c r="W729" s="81">
        <v>3.5714285714285712</v>
      </c>
      <c r="X729" s="81">
        <v>0</v>
      </c>
      <c r="Y729" s="81">
        <v>0</v>
      </c>
      <c r="Z729" s="81">
        <v>0</v>
      </c>
      <c r="AA729" s="81">
        <v>0</v>
      </c>
      <c r="AB729" s="81">
        <v>0</v>
      </c>
      <c r="AC729" s="81">
        <v>0</v>
      </c>
      <c r="AD729" s="83">
        <f t="shared" si="46"/>
        <v>99.999999999999972</v>
      </c>
      <c r="AE729" s="81">
        <v>0</v>
      </c>
      <c r="AF729" s="81">
        <v>0</v>
      </c>
      <c r="AG729" s="81">
        <v>0</v>
      </c>
      <c r="AH729" s="81">
        <v>0</v>
      </c>
      <c r="AI729" s="79" t="s">
        <v>1531</v>
      </c>
      <c r="AJ729" s="65">
        <v>960</v>
      </c>
      <c r="AK729" s="78">
        <v>1373</v>
      </c>
      <c r="AL729" s="200"/>
      <c r="AM729" s="190"/>
      <c r="AN729" s="190"/>
      <c r="AO729" s="190"/>
      <c r="AP729" s="190"/>
      <c r="AQ729" s="190"/>
      <c r="AR729" s="190"/>
      <c r="AS729" s="190"/>
      <c r="AT729" s="201"/>
      <c r="AU729" s="190"/>
      <c r="AV729" s="202"/>
      <c r="AW729" s="190">
        <v>11.45</v>
      </c>
      <c r="AX729" s="190"/>
      <c r="AY729" s="79">
        <v>0.01</v>
      </c>
      <c r="AZ729" s="65">
        <v>272.10000000000002</v>
      </c>
      <c r="BA729" s="78"/>
      <c r="BB729" s="65" t="s">
        <v>524</v>
      </c>
      <c r="BC729" s="188" t="s">
        <v>693</v>
      </c>
      <c r="BD729" s="188" t="s">
        <v>1027</v>
      </c>
      <c r="BE729" s="188" t="s">
        <v>1032</v>
      </c>
      <c r="BF729" s="79"/>
      <c r="BG729" s="65"/>
      <c r="BH729" s="78"/>
      <c r="BI729" s="65"/>
      <c r="BJ729" s="68"/>
      <c r="BK729" s="256"/>
    </row>
    <row r="730" spans="1:63" ht="23.25" customHeight="1" thickBot="1" x14ac:dyDescent="0.25">
      <c r="A730" s="62">
        <v>729</v>
      </c>
      <c r="B730" s="238">
        <v>47</v>
      </c>
      <c r="C730" s="238" t="s">
        <v>1847</v>
      </c>
      <c r="D730" s="225" t="s">
        <v>511</v>
      </c>
      <c r="E730" s="54" t="s">
        <v>356</v>
      </c>
      <c r="F730" s="16">
        <v>81.899999999999991</v>
      </c>
      <c r="G730" s="8">
        <v>0</v>
      </c>
      <c r="H730" s="8">
        <v>9.2857142857142865</v>
      </c>
      <c r="I730" s="8">
        <v>0</v>
      </c>
      <c r="J730" s="8">
        <v>1.6714285714285713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17">
        <v>0</v>
      </c>
      <c r="T730" s="8">
        <v>7.1428571428571423</v>
      </c>
      <c r="U730" s="8">
        <v>0</v>
      </c>
      <c r="V730" s="8">
        <v>0</v>
      </c>
      <c r="W730" s="8">
        <v>0</v>
      </c>
      <c r="X730" s="8">
        <v>0</v>
      </c>
      <c r="Y730" s="8">
        <v>0</v>
      </c>
      <c r="Z730" s="8">
        <v>0</v>
      </c>
      <c r="AA730" s="8">
        <v>0</v>
      </c>
      <c r="AB730" s="8">
        <v>0</v>
      </c>
      <c r="AC730" s="8">
        <v>0</v>
      </c>
      <c r="AD730" s="14">
        <f t="shared" si="46"/>
        <v>100</v>
      </c>
      <c r="AE730" s="8">
        <v>0</v>
      </c>
      <c r="AF730" s="8">
        <v>0</v>
      </c>
      <c r="AG730" s="8">
        <v>0</v>
      </c>
      <c r="AH730" s="8">
        <v>0</v>
      </c>
      <c r="AJ730" s="7"/>
      <c r="AK730" s="62"/>
      <c r="AL730" s="158"/>
      <c r="AM730" s="85"/>
      <c r="AN730" s="85"/>
      <c r="AO730" s="85"/>
      <c r="AP730" s="85"/>
      <c r="AQ730" s="85"/>
      <c r="AR730" s="85"/>
      <c r="AS730" s="85"/>
      <c r="AT730" s="205"/>
      <c r="AU730" s="85"/>
      <c r="AV730" s="196"/>
      <c r="AW730" s="85"/>
      <c r="AX730" s="85"/>
      <c r="AY730" s="39"/>
      <c r="AZ730" s="7"/>
      <c r="BA730" s="62"/>
      <c r="BB730" s="7" t="s">
        <v>524</v>
      </c>
      <c r="BC730" s="75" t="s">
        <v>683</v>
      </c>
      <c r="BD730" s="75" t="s">
        <v>1035</v>
      </c>
      <c r="BE730" s="75" t="s">
        <v>1039</v>
      </c>
      <c r="BF730" s="39"/>
      <c r="BG730" s="7"/>
      <c r="BH730" s="62"/>
      <c r="BI730" s="7"/>
      <c r="BJ730" s="32"/>
      <c r="BK730" s="256"/>
    </row>
    <row r="731" spans="1:63" ht="23.25" customHeight="1" thickBot="1" x14ac:dyDescent="0.25">
      <c r="A731" s="7">
        <v>730</v>
      </c>
      <c r="B731" s="221"/>
      <c r="C731" s="221"/>
      <c r="D731" s="223"/>
      <c r="E731" s="54" t="s">
        <v>305</v>
      </c>
      <c r="F731" s="16">
        <v>80.228571428571428</v>
      </c>
      <c r="G731" s="8">
        <v>0</v>
      </c>
      <c r="H731" s="8">
        <v>9.2857142857142865</v>
      </c>
      <c r="I731" s="8">
        <v>0</v>
      </c>
      <c r="J731" s="8">
        <v>3.3428571428571425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17">
        <v>0</v>
      </c>
      <c r="T731" s="8">
        <v>7.1428571428571423</v>
      </c>
      <c r="U731" s="8">
        <v>0</v>
      </c>
      <c r="V731" s="8">
        <v>0</v>
      </c>
      <c r="W731" s="8">
        <v>0</v>
      </c>
      <c r="X731" s="8">
        <v>0</v>
      </c>
      <c r="Y731" s="8">
        <v>0</v>
      </c>
      <c r="Z731" s="8">
        <v>0</v>
      </c>
      <c r="AA731" s="8">
        <v>0</v>
      </c>
      <c r="AB731" s="8">
        <v>0</v>
      </c>
      <c r="AC731" s="8">
        <v>0</v>
      </c>
      <c r="AD731" s="14">
        <f t="shared" si="46"/>
        <v>100</v>
      </c>
      <c r="AE731" s="8">
        <v>0</v>
      </c>
      <c r="AF731" s="8">
        <v>0</v>
      </c>
      <c r="AG731" s="8">
        <v>0</v>
      </c>
      <c r="AH731" s="8">
        <v>0</v>
      </c>
      <c r="AJ731" s="7"/>
      <c r="AK731" s="62"/>
      <c r="AL731" s="158"/>
      <c r="AM731" s="85"/>
      <c r="AN731" s="85"/>
      <c r="AO731" s="85"/>
      <c r="AP731" s="85"/>
      <c r="AQ731" s="85"/>
      <c r="AR731" s="85"/>
      <c r="AS731" s="85"/>
      <c r="AT731" s="205"/>
      <c r="AU731" s="85"/>
      <c r="AV731" s="196"/>
      <c r="AW731" s="85"/>
      <c r="AX731" s="85"/>
      <c r="AY731" s="39"/>
      <c r="AZ731" s="7"/>
      <c r="BA731" s="62"/>
      <c r="BB731" s="7" t="s">
        <v>524</v>
      </c>
      <c r="BC731" s="75" t="s">
        <v>1033</v>
      </c>
      <c r="BD731" s="75" t="s">
        <v>1036</v>
      </c>
      <c r="BE731" s="75" t="s">
        <v>1040</v>
      </c>
      <c r="BF731" s="39"/>
      <c r="BG731" s="7"/>
      <c r="BH731" s="62"/>
      <c r="BI731" s="7"/>
      <c r="BJ731" s="32"/>
      <c r="BK731" s="256"/>
    </row>
    <row r="732" spans="1:63" ht="23.25" customHeight="1" thickBot="1" x14ac:dyDescent="0.25">
      <c r="A732" s="62">
        <v>731</v>
      </c>
      <c r="B732" s="221"/>
      <c r="C732" s="221"/>
      <c r="D732" s="223"/>
      <c r="E732" s="54" t="s">
        <v>307</v>
      </c>
      <c r="F732" s="16">
        <v>78.55714285714285</v>
      </c>
      <c r="G732" s="8">
        <v>0</v>
      </c>
      <c r="H732" s="8">
        <v>9.2857142857142865</v>
      </c>
      <c r="I732" s="8">
        <v>0</v>
      </c>
      <c r="J732" s="8">
        <v>5.0142857142857142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17">
        <v>0</v>
      </c>
      <c r="T732" s="8">
        <v>7.1428571428571423</v>
      </c>
      <c r="U732" s="8">
        <v>0</v>
      </c>
      <c r="V732" s="8">
        <v>0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  <c r="AD732" s="14">
        <f t="shared" si="46"/>
        <v>100</v>
      </c>
      <c r="AE732" s="8">
        <v>0</v>
      </c>
      <c r="AF732" s="8">
        <v>0</v>
      </c>
      <c r="AG732" s="8">
        <v>0</v>
      </c>
      <c r="AH732" s="8">
        <v>0</v>
      </c>
      <c r="AJ732" s="7"/>
      <c r="AK732" s="62"/>
      <c r="AL732" s="158"/>
      <c r="AM732" s="85"/>
      <c r="AN732" s="85"/>
      <c r="AO732" s="85"/>
      <c r="AP732" s="85"/>
      <c r="AQ732" s="85"/>
      <c r="AR732" s="85"/>
      <c r="AS732" s="85"/>
      <c r="AT732" s="205"/>
      <c r="AU732" s="85"/>
      <c r="AV732" s="196"/>
      <c r="AW732" s="85"/>
      <c r="AX732" s="85"/>
      <c r="AY732" s="39"/>
      <c r="AZ732" s="7"/>
      <c r="BA732" s="62"/>
      <c r="BB732" s="7" t="s">
        <v>524</v>
      </c>
      <c r="BC732" s="75" t="s">
        <v>682</v>
      </c>
      <c r="BD732" s="75" t="s">
        <v>1037</v>
      </c>
      <c r="BE732" s="75" t="s">
        <v>1041</v>
      </c>
      <c r="BF732" s="39"/>
      <c r="BG732" s="7"/>
      <c r="BH732" s="62"/>
      <c r="BI732" s="7"/>
      <c r="BJ732" s="32"/>
      <c r="BK732" s="256"/>
    </row>
    <row r="733" spans="1:63" ht="23.25" customHeight="1" thickBot="1" x14ac:dyDescent="0.25">
      <c r="A733" s="7">
        <v>732</v>
      </c>
      <c r="B733" s="221"/>
      <c r="C733" s="221"/>
      <c r="D733" s="223"/>
      <c r="E733" s="54" t="s">
        <v>308</v>
      </c>
      <c r="F733" s="16">
        <v>76.885714285714286</v>
      </c>
      <c r="G733" s="8">
        <v>0</v>
      </c>
      <c r="H733" s="8">
        <v>9.2857142857142865</v>
      </c>
      <c r="I733" s="8">
        <v>0</v>
      </c>
      <c r="J733" s="8">
        <v>6.6857142857142851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17">
        <v>0</v>
      </c>
      <c r="T733" s="8">
        <v>7.1428571428571423</v>
      </c>
      <c r="U733" s="8">
        <v>0</v>
      </c>
      <c r="V733" s="8">
        <v>0</v>
      </c>
      <c r="W733" s="8">
        <v>0</v>
      </c>
      <c r="X733" s="8">
        <v>0</v>
      </c>
      <c r="Y733" s="8">
        <v>0</v>
      </c>
      <c r="Z733" s="8">
        <v>0</v>
      </c>
      <c r="AA733" s="8">
        <v>0</v>
      </c>
      <c r="AB733" s="8">
        <v>0</v>
      </c>
      <c r="AC733" s="8">
        <v>0</v>
      </c>
      <c r="AD733" s="14">
        <f t="shared" si="46"/>
        <v>100</v>
      </c>
      <c r="AE733" s="8">
        <v>0</v>
      </c>
      <c r="AF733" s="8">
        <v>0</v>
      </c>
      <c r="AG733" s="8">
        <v>0</v>
      </c>
      <c r="AH733" s="8">
        <v>0</v>
      </c>
      <c r="AJ733" s="7"/>
      <c r="AK733" s="62"/>
      <c r="AL733" s="158"/>
      <c r="AM733" s="85"/>
      <c r="AN733" s="85"/>
      <c r="AO733" s="85"/>
      <c r="AP733" s="85"/>
      <c r="AQ733" s="85"/>
      <c r="AR733" s="85"/>
      <c r="AS733" s="85"/>
      <c r="AT733" s="205"/>
      <c r="AU733" s="85"/>
      <c r="AV733" s="196"/>
      <c r="AW733" s="85"/>
      <c r="AX733" s="85"/>
      <c r="AY733" s="39"/>
      <c r="AZ733" s="7"/>
      <c r="BA733" s="62"/>
      <c r="BB733" s="7" t="s">
        <v>524</v>
      </c>
      <c r="BC733" s="75" t="s">
        <v>1034</v>
      </c>
      <c r="BD733" s="75" t="s">
        <v>1038</v>
      </c>
      <c r="BE733" s="75" t="s">
        <v>1042</v>
      </c>
      <c r="BF733" s="39"/>
      <c r="BG733" s="7"/>
      <c r="BH733" s="62"/>
      <c r="BI733" s="7"/>
      <c r="BJ733" s="32"/>
      <c r="BK733" s="256"/>
    </row>
    <row r="734" spans="1:63" ht="23.25" customHeight="1" thickBot="1" x14ac:dyDescent="0.25">
      <c r="A734" s="62">
        <v>733</v>
      </c>
      <c r="B734" s="221"/>
      <c r="C734" s="221"/>
      <c r="D734" s="223" t="s">
        <v>510</v>
      </c>
      <c r="E734" s="54" t="s">
        <v>337</v>
      </c>
      <c r="F734" s="16">
        <v>81.428571428571416</v>
      </c>
      <c r="G734" s="8">
        <v>2.1428571428571423</v>
      </c>
      <c r="H734" s="8">
        <v>9.2857142857142847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17">
        <v>0</v>
      </c>
      <c r="T734" s="8">
        <v>7.1428571428571423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8">
        <v>0</v>
      </c>
      <c r="AA734" s="8">
        <v>0</v>
      </c>
      <c r="AB734" s="8">
        <v>0</v>
      </c>
      <c r="AC734" s="8">
        <v>0</v>
      </c>
      <c r="AD734" s="14">
        <f t="shared" si="46"/>
        <v>99.999999999999972</v>
      </c>
      <c r="AE734" s="8">
        <v>0</v>
      </c>
      <c r="AF734" s="8">
        <v>0</v>
      </c>
      <c r="AG734" s="8">
        <v>0</v>
      </c>
      <c r="AH734" s="8">
        <v>0</v>
      </c>
      <c r="AJ734" s="7"/>
      <c r="AK734" s="62"/>
      <c r="AL734" s="158"/>
      <c r="AM734" s="85"/>
      <c r="AN734" s="85"/>
      <c r="AO734" s="85"/>
      <c r="AP734" s="85"/>
      <c r="AQ734" s="85"/>
      <c r="AR734" s="85"/>
      <c r="AS734" s="85"/>
      <c r="AT734" s="205"/>
      <c r="AU734" s="85"/>
      <c r="AV734" s="196"/>
      <c r="AW734" s="85"/>
      <c r="AX734" s="85"/>
      <c r="AY734" s="39"/>
      <c r="AZ734" s="7"/>
      <c r="BA734" s="62"/>
      <c r="BB734" s="7" t="s">
        <v>590</v>
      </c>
      <c r="BC734" s="75" t="s">
        <v>1078</v>
      </c>
      <c r="BD734" s="75" t="s">
        <v>1084</v>
      </c>
      <c r="BE734" s="75" t="s">
        <v>1090</v>
      </c>
      <c r="BF734" s="39"/>
      <c r="BG734" s="7"/>
      <c r="BH734" s="62"/>
      <c r="BI734" s="7"/>
      <c r="BJ734" s="32"/>
      <c r="BK734" s="256"/>
    </row>
    <row r="735" spans="1:63" ht="23.25" customHeight="1" thickBot="1" x14ac:dyDescent="0.25">
      <c r="A735" s="7">
        <v>734</v>
      </c>
      <c r="B735" s="221"/>
      <c r="C735" s="221"/>
      <c r="D735" s="223"/>
      <c r="E735" s="54" t="s">
        <v>283</v>
      </c>
      <c r="F735" s="16">
        <v>81.428571428571416</v>
      </c>
      <c r="G735" s="8">
        <v>5.7142857142857144</v>
      </c>
      <c r="H735" s="8">
        <v>5.7142857142857144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17">
        <v>0</v>
      </c>
      <c r="T735" s="8">
        <v>7.1428571428571423</v>
      </c>
      <c r="U735" s="8">
        <v>0</v>
      </c>
      <c r="V735" s="8">
        <v>0</v>
      </c>
      <c r="W735" s="8">
        <v>0</v>
      </c>
      <c r="X735" s="8">
        <v>0</v>
      </c>
      <c r="Y735" s="8">
        <v>0</v>
      </c>
      <c r="Z735" s="8">
        <v>0</v>
      </c>
      <c r="AA735" s="8">
        <v>0</v>
      </c>
      <c r="AB735" s="8">
        <v>0</v>
      </c>
      <c r="AC735" s="8">
        <v>0</v>
      </c>
      <c r="AD735" s="14">
        <f t="shared" si="46"/>
        <v>99.999999999999972</v>
      </c>
      <c r="AE735" s="8">
        <v>0</v>
      </c>
      <c r="AF735" s="8">
        <v>0</v>
      </c>
      <c r="AG735" s="8">
        <v>0</v>
      </c>
      <c r="AH735" s="8">
        <v>0</v>
      </c>
      <c r="AJ735" s="7"/>
      <c r="AK735" s="62"/>
      <c r="AL735" s="158"/>
      <c r="AM735" s="85"/>
      <c r="AN735" s="85"/>
      <c r="AO735" s="85"/>
      <c r="AP735" s="85"/>
      <c r="AQ735" s="85"/>
      <c r="AR735" s="85"/>
      <c r="AS735" s="85"/>
      <c r="AT735" s="205"/>
      <c r="AU735" s="85"/>
      <c r="AV735" s="196"/>
      <c r="AW735" s="85"/>
      <c r="AX735" s="85"/>
      <c r="AY735" s="39"/>
      <c r="AZ735" s="7"/>
      <c r="BA735" s="62"/>
      <c r="BB735" s="7" t="s">
        <v>590</v>
      </c>
      <c r="BC735" s="75" t="s">
        <v>1079</v>
      </c>
      <c r="BD735" s="75" t="s">
        <v>1085</v>
      </c>
      <c r="BE735" s="75" t="s">
        <v>1091</v>
      </c>
      <c r="BF735" s="39"/>
      <c r="BG735" s="7"/>
      <c r="BH735" s="62"/>
      <c r="BI735" s="7"/>
      <c r="BJ735" s="32"/>
      <c r="BK735" s="256"/>
    </row>
    <row r="736" spans="1:63" ht="23.25" customHeight="1" thickBot="1" x14ac:dyDescent="0.25">
      <c r="A736" s="62">
        <v>735</v>
      </c>
      <c r="B736" s="221"/>
      <c r="C736" s="221"/>
      <c r="D736" s="223" t="s">
        <v>485</v>
      </c>
      <c r="E736" s="54" t="s">
        <v>389</v>
      </c>
      <c r="F736" s="16">
        <v>78.785714285714278</v>
      </c>
      <c r="G736" s="8">
        <v>3.3571428571428572</v>
      </c>
      <c r="H736" s="8">
        <v>5</v>
      </c>
      <c r="I736" s="8">
        <v>0</v>
      </c>
      <c r="J736" s="8">
        <v>5.7142857142857144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17">
        <v>0</v>
      </c>
      <c r="T736" s="8">
        <v>7.1428571428571423</v>
      </c>
      <c r="U736" s="8">
        <v>0</v>
      </c>
      <c r="V736" s="8">
        <v>0</v>
      </c>
      <c r="W736" s="8">
        <v>0</v>
      </c>
      <c r="X736" s="8">
        <v>0</v>
      </c>
      <c r="Y736" s="8">
        <v>0</v>
      </c>
      <c r="Z736" s="8">
        <v>0</v>
      </c>
      <c r="AA736" s="8">
        <v>0</v>
      </c>
      <c r="AB736" s="8">
        <v>0</v>
      </c>
      <c r="AC736" s="8">
        <v>0</v>
      </c>
      <c r="AD736" s="14">
        <f t="shared" si="46"/>
        <v>99.999999999999986</v>
      </c>
      <c r="AE736" s="8">
        <v>0</v>
      </c>
      <c r="AF736" s="8">
        <v>0</v>
      </c>
      <c r="AG736" s="8">
        <v>0</v>
      </c>
      <c r="AH736" s="8">
        <v>0</v>
      </c>
      <c r="AJ736" s="7"/>
      <c r="AK736" s="62"/>
      <c r="AL736" s="158"/>
      <c r="AM736" s="85"/>
      <c r="AN736" s="85"/>
      <c r="AO736" s="85"/>
      <c r="AP736" s="85"/>
      <c r="AQ736" s="85"/>
      <c r="AR736" s="85"/>
      <c r="AS736" s="85"/>
      <c r="AT736" s="205"/>
      <c r="AU736" s="85"/>
      <c r="AV736" s="196"/>
      <c r="AW736" s="85"/>
      <c r="AX736" s="85"/>
      <c r="AY736" s="39"/>
      <c r="AZ736" s="7"/>
      <c r="BA736" s="62"/>
      <c r="BB736" s="7" t="s">
        <v>590</v>
      </c>
      <c r="BC736" s="75" t="s">
        <v>1080</v>
      </c>
      <c r="BD736" s="75" t="s">
        <v>1086</v>
      </c>
      <c r="BE736" s="75" t="s">
        <v>1092</v>
      </c>
      <c r="BF736" s="39"/>
      <c r="BG736" s="7"/>
      <c r="BH736" s="62"/>
      <c r="BI736" s="7"/>
      <c r="BJ736" s="32"/>
      <c r="BK736" s="256"/>
    </row>
    <row r="737" spans="1:63" ht="23.25" customHeight="1" thickBot="1" x14ac:dyDescent="0.25">
      <c r="A737" s="7">
        <v>736</v>
      </c>
      <c r="B737" s="221"/>
      <c r="C737" s="221"/>
      <c r="D737" s="223"/>
      <c r="E737" s="54" t="s">
        <v>289</v>
      </c>
      <c r="F737" s="16">
        <v>78.785714285714278</v>
      </c>
      <c r="G737" s="8">
        <v>5</v>
      </c>
      <c r="H737" s="8">
        <v>3.3571428571428572</v>
      </c>
      <c r="I737" s="8">
        <v>0</v>
      </c>
      <c r="J737" s="8">
        <v>5.7142857142857144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17">
        <v>0</v>
      </c>
      <c r="T737" s="8">
        <v>7.1428571428571423</v>
      </c>
      <c r="U737" s="8">
        <v>0</v>
      </c>
      <c r="V737" s="8">
        <v>0</v>
      </c>
      <c r="W737" s="8">
        <v>0</v>
      </c>
      <c r="X737" s="8">
        <v>0</v>
      </c>
      <c r="Y737" s="8">
        <v>0</v>
      </c>
      <c r="Z737" s="8">
        <v>0</v>
      </c>
      <c r="AA737" s="8">
        <v>0</v>
      </c>
      <c r="AB737" s="8">
        <v>0</v>
      </c>
      <c r="AC737" s="8">
        <v>0</v>
      </c>
      <c r="AD737" s="14">
        <f t="shared" si="46"/>
        <v>99.999999999999986</v>
      </c>
      <c r="AE737" s="8">
        <v>0</v>
      </c>
      <c r="AF737" s="8">
        <v>0</v>
      </c>
      <c r="AG737" s="8">
        <v>0</v>
      </c>
      <c r="AH737" s="8">
        <v>0</v>
      </c>
      <c r="AJ737" s="7"/>
      <c r="AK737" s="62"/>
      <c r="AL737" s="158"/>
      <c r="AM737" s="85"/>
      <c r="AN737" s="85"/>
      <c r="AO737" s="85"/>
      <c r="AP737" s="85"/>
      <c r="AQ737" s="85"/>
      <c r="AR737" s="85"/>
      <c r="AS737" s="85"/>
      <c r="AT737" s="205"/>
      <c r="AU737" s="85"/>
      <c r="AV737" s="196"/>
      <c r="AW737" s="85"/>
      <c r="AX737" s="85"/>
      <c r="AY737" s="39"/>
      <c r="AZ737" s="7"/>
      <c r="BA737" s="62"/>
      <c r="BB737" s="7" t="s">
        <v>590</v>
      </c>
      <c r="BC737" s="75" t="s">
        <v>1081</v>
      </c>
      <c r="BD737" s="75" t="s">
        <v>1087</v>
      </c>
      <c r="BE737" s="75" t="s">
        <v>1093</v>
      </c>
      <c r="BF737" s="39"/>
      <c r="BG737" s="7"/>
      <c r="BH737" s="62"/>
      <c r="BI737" s="7"/>
      <c r="BJ737" s="32"/>
      <c r="BK737" s="256"/>
    </row>
    <row r="738" spans="1:63" ht="23.25" customHeight="1" thickBot="1" x14ac:dyDescent="0.25">
      <c r="A738" s="62">
        <v>737</v>
      </c>
      <c r="B738" s="221"/>
      <c r="C738" s="221"/>
      <c r="D738" s="223"/>
      <c r="E738" s="54" t="s">
        <v>365</v>
      </c>
      <c r="F738" s="16">
        <v>78.785714285714278</v>
      </c>
      <c r="G738" s="8">
        <v>6.7142857142857144</v>
      </c>
      <c r="H738" s="8">
        <v>1.6428571428571428</v>
      </c>
      <c r="I738" s="8">
        <v>0</v>
      </c>
      <c r="J738" s="8">
        <v>5.7142857142857144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17">
        <v>0</v>
      </c>
      <c r="T738" s="8">
        <v>7.1428571428571423</v>
      </c>
      <c r="U738" s="8">
        <v>0</v>
      </c>
      <c r="V738" s="8">
        <v>0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  <c r="AD738" s="14">
        <f t="shared" si="46"/>
        <v>99.999999999999972</v>
      </c>
      <c r="AE738" s="8">
        <v>0</v>
      </c>
      <c r="AF738" s="8">
        <v>0</v>
      </c>
      <c r="AG738" s="8">
        <v>0</v>
      </c>
      <c r="AH738" s="8">
        <v>0</v>
      </c>
      <c r="AJ738" s="7"/>
      <c r="AK738" s="62"/>
      <c r="AL738" s="158"/>
      <c r="AM738" s="85"/>
      <c r="AN738" s="85"/>
      <c r="AO738" s="85"/>
      <c r="AP738" s="85"/>
      <c r="AQ738" s="85"/>
      <c r="AR738" s="85"/>
      <c r="AS738" s="85"/>
      <c r="AT738" s="205"/>
      <c r="AU738" s="85"/>
      <c r="AV738" s="196"/>
      <c r="AW738" s="85"/>
      <c r="AX738" s="85"/>
      <c r="AY738" s="39"/>
      <c r="AZ738" s="7"/>
      <c r="BA738" s="62"/>
      <c r="BB738" s="7" t="s">
        <v>590</v>
      </c>
      <c r="BC738" s="75" t="s">
        <v>1082</v>
      </c>
      <c r="BD738" s="75" t="s">
        <v>1088</v>
      </c>
      <c r="BE738" s="75" t="s">
        <v>1094</v>
      </c>
      <c r="BF738" s="39"/>
      <c r="BG738" s="7"/>
      <c r="BH738" s="62"/>
      <c r="BI738" s="7"/>
      <c r="BJ738" s="32"/>
      <c r="BK738" s="256"/>
    </row>
    <row r="739" spans="1:63" ht="23.25" customHeight="1" thickBot="1" x14ac:dyDescent="0.25">
      <c r="A739" s="7">
        <v>738</v>
      </c>
      <c r="B739" s="221"/>
      <c r="C739" s="221"/>
      <c r="D739" s="223"/>
      <c r="E739" s="54" t="s">
        <v>486</v>
      </c>
      <c r="F739" s="16">
        <v>78.785714285714278</v>
      </c>
      <c r="G739" s="8">
        <v>8.3571428571428559</v>
      </c>
      <c r="H739" s="8">
        <v>0</v>
      </c>
      <c r="I739" s="8">
        <v>0</v>
      </c>
      <c r="J739" s="8">
        <v>5.7142857142857144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17">
        <v>0</v>
      </c>
      <c r="T739" s="8">
        <v>7.1428571428571423</v>
      </c>
      <c r="U739" s="8">
        <v>0</v>
      </c>
      <c r="V739" s="8">
        <v>0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14">
        <f t="shared" si="46"/>
        <v>99.999999999999986</v>
      </c>
      <c r="AE739" s="8">
        <v>0</v>
      </c>
      <c r="AF739" s="8">
        <v>0</v>
      </c>
      <c r="AG739" s="8">
        <v>0</v>
      </c>
      <c r="AH739" s="8">
        <v>0</v>
      </c>
      <c r="AJ739" s="7"/>
      <c r="AK739" s="62"/>
      <c r="AL739" s="158"/>
      <c r="AM739" s="85"/>
      <c r="AN739" s="85"/>
      <c r="AO739" s="85"/>
      <c r="AP739" s="85"/>
      <c r="AQ739" s="85"/>
      <c r="AR739" s="85"/>
      <c r="AS739" s="85"/>
      <c r="AT739" s="205"/>
      <c r="AU739" s="85"/>
      <c r="AV739" s="196"/>
      <c r="AW739" s="85"/>
      <c r="AX739" s="85"/>
      <c r="AY739" s="39"/>
      <c r="AZ739" s="7"/>
      <c r="BA739" s="62"/>
      <c r="BB739" s="7" t="s">
        <v>590</v>
      </c>
      <c r="BC739" s="75" t="s">
        <v>1083</v>
      </c>
      <c r="BD739" s="75" t="s">
        <v>1089</v>
      </c>
      <c r="BE739" s="75" t="s">
        <v>1095</v>
      </c>
      <c r="BF739" s="39"/>
      <c r="BG739" s="7"/>
      <c r="BH739" s="62"/>
      <c r="BI739" s="7"/>
      <c r="BJ739" s="32"/>
      <c r="BK739" s="256"/>
    </row>
    <row r="740" spans="1:63" ht="23.25" customHeight="1" thickBot="1" x14ac:dyDescent="0.25">
      <c r="A740" s="62">
        <v>739</v>
      </c>
      <c r="B740" s="221"/>
      <c r="C740" s="221"/>
      <c r="D740" s="223" t="s">
        <v>185</v>
      </c>
      <c r="E740" s="54" t="s">
        <v>339</v>
      </c>
      <c r="F740" s="16">
        <f t="shared" ref="F740:F749" si="47">11.5/14*100</f>
        <v>82.142857142857139</v>
      </c>
      <c r="G740" s="8">
        <v>0</v>
      </c>
      <c r="H740" s="8">
        <f t="shared" ref="H740:H749" si="48">1.5/14*100</f>
        <v>10.714285714285714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17">
        <v>0</v>
      </c>
      <c r="T740" s="8">
        <v>7.1428571428571423</v>
      </c>
      <c r="U740" s="8">
        <v>0</v>
      </c>
      <c r="V740" s="8">
        <v>0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  <c r="AD740" s="14">
        <f t="shared" si="46"/>
        <v>99.999999999999986</v>
      </c>
      <c r="AE740" s="8">
        <v>0</v>
      </c>
      <c r="AF740" s="8">
        <f>0.1/14*100</f>
        <v>0.7142857142857143</v>
      </c>
      <c r="AG740" s="8">
        <v>0</v>
      </c>
      <c r="AH740" s="8">
        <v>0</v>
      </c>
      <c r="AJ740" s="7"/>
      <c r="AK740" s="62"/>
      <c r="AL740" s="158"/>
      <c r="AM740" s="85"/>
      <c r="AN740" s="85"/>
      <c r="AO740" s="85"/>
      <c r="AP740" s="85"/>
      <c r="AQ740" s="85"/>
      <c r="AR740" s="85"/>
      <c r="AS740" s="85"/>
      <c r="AT740" s="205"/>
      <c r="AU740" s="85"/>
      <c r="AV740" s="196"/>
      <c r="AW740" s="85"/>
      <c r="AX740" s="85"/>
      <c r="AY740" s="39"/>
      <c r="AZ740" s="7"/>
      <c r="BA740" s="62"/>
      <c r="BB740" s="7" t="s">
        <v>523</v>
      </c>
      <c r="BC740" s="75" t="s">
        <v>1049</v>
      </c>
      <c r="BD740" s="75" t="s">
        <v>1058</v>
      </c>
      <c r="BE740" s="75" t="s">
        <v>1068</v>
      </c>
      <c r="BF740" s="39"/>
      <c r="BG740" s="7"/>
      <c r="BH740" s="62"/>
      <c r="BI740" s="7"/>
      <c r="BJ740" s="32"/>
      <c r="BK740" s="256"/>
    </row>
    <row r="741" spans="1:63" ht="23.25" customHeight="1" thickBot="1" x14ac:dyDescent="0.25">
      <c r="A741" s="7">
        <v>740</v>
      </c>
      <c r="B741" s="221"/>
      <c r="C741" s="221"/>
      <c r="D741" s="223"/>
      <c r="E741" s="54" t="s">
        <v>338</v>
      </c>
      <c r="F741" s="16">
        <f t="shared" si="47"/>
        <v>82.142857142857139</v>
      </c>
      <c r="G741" s="8">
        <v>0</v>
      </c>
      <c r="H741" s="8">
        <f t="shared" si="48"/>
        <v>10.714285714285714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17">
        <v>0</v>
      </c>
      <c r="T741" s="8">
        <v>7.1428571428571423</v>
      </c>
      <c r="U741" s="8">
        <v>0</v>
      </c>
      <c r="V741" s="8">
        <v>0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0</v>
      </c>
      <c r="AC741" s="8">
        <v>0</v>
      </c>
      <c r="AD741" s="14">
        <f t="shared" si="46"/>
        <v>99.999999999999986</v>
      </c>
      <c r="AE741" s="8">
        <v>0</v>
      </c>
      <c r="AF741" s="8">
        <f>0.2/14*100</f>
        <v>1.4285714285714286</v>
      </c>
      <c r="AG741" s="8">
        <v>0</v>
      </c>
      <c r="AH741" s="8">
        <v>0</v>
      </c>
      <c r="AJ741" s="7"/>
      <c r="AK741" s="62"/>
      <c r="AL741" s="158"/>
      <c r="AM741" s="85"/>
      <c r="AN741" s="85"/>
      <c r="AO741" s="85"/>
      <c r="AP741" s="85"/>
      <c r="AQ741" s="85"/>
      <c r="AR741" s="85"/>
      <c r="AS741" s="85"/>
      <c r="AT741" s="205"/>
      <c r="AU741" s="85"/>
      <c r="AV741" s="196"/>
      <c r="AW741" s="85"/>
      <c r="AX741" s="85"/>
      <c r="AY741" s="39"/>
      <c r="AZ741" s="7"/>
      <c r="BA741" s="62"/>
      <c r="BB741" s="7" t="s">
        <v>523</v>
      </c>
      <c r="BC741" s="75" t="s">
        <v>1050</v>
      </c>
      <c r="BD741" s="75" t="s">
        <v>1067</v>
      </c>
      <c r="BE741" s="75" t="s">
        <v>1069</v>
      </c>
      <c r="BF741" s="39"/>
      <c r="BG741" s="7"/>
      <c r="BH741" s="62"/>
      <c r="BI741" s="7"/>
      <c r="BJ741" s="32"/>
      <c r="BK741" s="256"/>
    </row>
    <row r="742" spans="1:63" ht="23.25" customHeight="1" thickBot="1" x14ac:dyDescent="0.25">
      <c r="A742" s="62">
        <v>741</v>
      </c>
      <c r="B742" s="221"/>
      <c r="C742" s="221"/>
      <c r="D742" s="223"/>
      <c r="E742" s="54" t="s">
        <v>377</v>
      </c>
      <c r="F742" s="16">
        <f t="shared" si="47"/>
        <v>82.142857142857139</v>
      </c>
      <c r="G742" s="8">
        <v>0</v>
      </c>
      <c r="H742" s="8">
        <f t="shared" si="48"/>
        <v>10.714285714285714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17">
        <v>0</v>
      </c>
      <c r="T742" s="8">
        <v>7.1428571428571423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14">
        <f t="shared" si="46"/>
        <v>99.999999999999986</v>
      </c>
      <c r="AE742" s="8">
        <v>0</v>
      </c>
      <c r="AF742" s="8">
        <f>0.4/14*100</f>
        <v>2.8571428571428572</v>
      </c>
      <c r="AG742" s="8">
        <v>0</v>
      </c>
      <c r="AH742" s="8">
        <v>0</v>
      </c>
      <c r="AJ742" s="7"/>
      <c r="AK742" s="62"/>
      <c r="AL742" s="158"/>
      <c r="AM742" s="85"/>
      <c r="AN742" s="85"/>
      <c r="AO742" s="85"/>
      <c r="AP742" s="85"/>
      <c r="AQ742" s="85"/>
      <c r="AR742" s="85"/>
      <c r="AS742" s="85"/>
      <c r="AT742" s="205"/>
      <c r="AU742" s="85"/>
      <c r="AV742" s="196"/>
      <c r="AW742" s="85"/>
      <c r="AX742" s="85"/>
      <c r="AY742" s="39"/>
      <c r="AZ742" s="7"/>
      <c r="BA742" s="62"/>
      <c r="BB742" s="7" t="s">
        <v>523</v>
      </c>
      <c r="BC742" s="75" t="s">
        <v>854</v>
      </c>
      <c r="BD742" s="75" t="s">
        <v>1066</v>
      </c>
      <c r="BE742" s="75" t="s">
        <v>1070</v>
      </c>
      <c r="BF742" s="39"/>
      <c r="BG742" s="7"/>
      <c r="BH742" s="62"/>
      <c r="BI742" s="7"/>
      <c r="BJ742" s="32"/>
      <c r="BK742" s="256"/>
    </row>
    <row r="743" spans="1:63" ht="23.25" customHeight="1" thickBot="1" x14ac:dyDescent="0.25">
      <c r="A743" s="7">
        <v>742</v>
      </c>
      <c r="B743" s="221"/>
      <c r="C743" s="221"/>
      <c r="D743" s="223"/>
      <c r="E743" s="54" t="s">
        <v>336</v>
      </c>
      <c r="F743" s="16">
        <f t="shared" si="47"/>
        <v>82.142857142857139</v>
      </c>
      <c r="G743" s="8">
        <v>0</v>
      </c>
      <c r="H743" s="8">
        <f t="shared" si="48"/>
        <v>10.714285714285714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17">
        <v>0</v>
      </c>
      <c r="T743" s="8">
        <v>7.1428571428571423</v>
      </c>
      <c r="U743" s="8">
        <v>0</v>
      </c>
      <c r="V743" s="8">
        <v>0</v>
      </c>
      <c r="W743" s="8">
        <v>0</v>
      </c>
      <c r="X743" s="8">
        <v>0</v>
      </c>
      <c r="Y743" s="8">
        <v>0</v>
      </c>
      <c r="Z743" s="8">
        <v>0</v>
      </c>
      <c r="AA743" s="8">
        <v>0</v>
      </c>
      <c r="AB743" s="8">
        <v>0</v>
      </c>
      <c r="AC743" s="8">
        <v>0</v>
      </c>
      <c r="AD743" s="14">
        <f t="shared" si="46"/>
        <v>99.999999999999986</v>
      </c>
      <c r="AE743" s="8">
        <v>0</v>
      </c>
      <c r="AF743" s="8">
        <f>0.5/14*100</f>
        <v>3.5714285714285712</v>
      </c>
      <c r="AG743" s="8">
        <v>0</v>
      </c>
      <c r="AH743" s="8">
        <v>0</v>
      </c>
      <c r="AJ743" s="7"/>
      <c r="AK743" s="62"/>
      <c r="AL743" s="158"/>
      <c r="AM743" s="85"/>
      <c r="AN743" s="85"/>
      <c r="AO743" s="85"/>
      <c r="AP743" s="85"/>
      <c r="AQ743" s="85"/>
      <c r="AR743" s="85"/>
      <c r="AS743" s="85"/>
      <c r="AT743" s="205"/>
      <c r="AU743" s="85"/>
      <c r="AV743" s="196"/>
      <c r="AW743" s="85"/>
      <c r="AX743" s="85"/>
      <c r="AY743" s="39"/>
      <c r="AZ743" s="7"/>
      <c r="BA743" s="62"/>
      <c r="BB743" s="7" t="s">
        <v>523</v>
      </c>
      <c r="BC743" s="75" t="s">
        <v>1051</v>
      </c>
      <c r="BD743" s="75" t="s">
        <v>1065</v>
      </c>
      <c r="BE743" s="75" t="s">
        <v>1071</v>
      </c>
      <c r="BF743" s="39"/>
      <c r="BG743" s="7"/>
      <c r="BH743" s="62"/>
      <c r="BI743" s="7"/>
      <c r="BJ743" s="32"/>
      <c r="BK743" s="256"/>
    </row>
    <row r="744" spans="1:63" ht="23.25" customHeight="1" thickBot="1" x14ac:dyDescent="0.25">
      <c r="A744" s="62">
        <v>743</v>
      </c>
      <c r="B744" s="221"/>
      <c r="C744" s="221"/>
      <c r="D744" s="223" t="s">
        <v>186</v>
      </c>
      <c r="E744" s="54" t="s">
        <v>385</v>
      </c>
      <c r="F744" s="16">
        <f t="shared" si="47"/>
        <v>82.142857142857139</v>
      </c>
      <c r="G744" s="8">
        <v>0</v>
      </c>
      <c r="H744" s="8">
        <f t="shared" si="48"/>
        <v>10.714285714285714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17">
        <v>0</v>
      </c>
      <c r="T744" s="8">
        <v>7.1428571428571423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  <c r="Z744" s="8">
        <v>0</v>
      </c>
      <c r="AA744" s="8">
        <v>0</v>
      </c>
      <c r="AB744" s="8">
        <v>0</v>
      </c>
      <c r="AC744" s="8">
        <v>0</v>
      </c>
      <c r="AD744" s="14">
        <f t="shared" si="46"/>
        <v>99.999999999999986</v>
      </c>
      <c r="AE744" s="8">
        <f>0.12/14*100</f>
        <v>0.85714285714285721</v>
      </c>
      <c r="AF744" s="8">
        <v>0</v>
      </c>
      <c r="AG744" s="8">
        <v>0</v>
      </c>
      <c r="AH744" s="8">
        <v>0</v>
      </c>
      <c r="AJ744" s="7"/>
      <c r="AK744" s="62"/>
      <c r="AL744" s="158"/>
      <c r="AM744" s="85"/>
      <c r="AN744" s="85"/>
      <c r="AO744" s="85"/>
      <c r="AP744" s="85"/>
      <c r="AQ744" s="85"/>
      <c r="AR744" s="85"/>
      <c r="AS744" s="85"/>
      <c r="AT744" s="205"/>
      <c r="AU744" s="85"/>
      <c r="AV744" s="196"/>
      <c r="AW744" s="85"/>
      <c r="AX744" s="85"/>
      <c r="AY744" s="39"/>
      <c r="AZ744" s="7"/>
      <c r="BA744" s="62"/>
      <c r="BB744" s="7" t="s">
        <v>523</v>
      </c>
      <c r="BC744" s="75" t="s">
        <v>1052</v>
      </c>
      <c r="BD744" s="75" t="s">
        <v>1064</v>
      </c>
      <c r="BE744" s="75" t="s">
        <v>1072</v>
      </c>
      <c r="BF744" s="39"/>
      <c r="BG744" s="7"/>
      <c r="BH744" s="62"/>
      <c r="BI744" s="7"/>
      <c r="BJ744" s="32"/>
      <c r="BK744" s="256"/>
    </row>
    <row r="745" spans="1:63" ht="23.25" customHeight="1" thickBot="1" x14ac:dyDescent="0.25">
      <c r="A745" s="7">
        <v>744</v>
      </c>
      <c r="B745" s="221"/>
      <c r="C745" s="221"/>
      <c r="D745" s="223"/>
      <c r="E745" s="54" t="s">
        <v>378</v>
      </c>
      <c r="F745" s="16">
        <f t="shared" si="47"/>
        <v>82.142857142857139</v>
      </c>
      <c r="G745" s="8">
        <v>0</v>
      </c>
      <c r="H745" s="8">
        <f t="shared" si="48"/>
        <v>10.714285714285714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17">
        <v>0</v>
      </c>
      <c r="T745" s="8">
        <v>7.1428571428571423</v>
      </c>
      <c r="U745" s="8">
        <v>0</v>
      </c>
      <c r="V745" s="8">
        <v>0</v>
      </c>
      <c r="W745" s="8">
        <v>0</v>
      </c>
      <c r="X745" s="8">
        <v>0</v>
      </c>
      <c r="Y745" s="8">
        <v>0</v>
      </c>
      <c r="Z745" s="8">
        <v>0</v>
      </c>
      <c r="AA745" s="8">
        <v>0</v>
      </c>
      <c r="AB745" s="8">
        <v>0</v>
      </c>
      <c r="AC745" s="8">
        <v>0</v>
      </c>
      <c r="AD745" s="14">
        <f t="shared" si="46"/>
        <v>99.999999999999986</v>
      </c>
      <c r="AE745" s="8">
        <f>0.6/14*100</f>
        <v>4.2857142857142856</v>
      </c>
      <c r="AF745" s="8">
        <v>0</v>
      </c>
      <c r="AG745" s="8">
        <v>0</v>
      </c>
      <c r="AH745" s="8">
        <v>0</v>
      </c>
      <c r="AJ745" s="7"/>
      <c r="AK745" s="62"/>
      <c r="AL745" s="158"/>
      <c r="AM745" s="85"/>
      <c r="AN745" s="85"/>
      <c r="AO745" s="85"/>
      <c r="AP745" s="85"/>
      <c r="AQ745" s="85"/>
      <c r="AR745" s="85"/>
      <c r="AS745" s="85"/>
      <c r="AT745" s="205"/>
      <c r="AU745" s="85"/>
      <c r="AV745" s="196"/>
      <c r="AW745" s="85"/>
      <c r="AX745" s="85"/>
      <c r="AY745" s="39"/>
      <c r="AZ745" s="7"/>
      <c r="BA745" s="62"/>
      <c r="BB745" s="7" t="s">
        <v>523</v>
      </c>
      <c r="BC745" s="75" t="s">
        <v>1053</v>
      </c>
      <c r="BD745" s="75" t="s">
        <v>1063</v>
      </c>
      <c r="BE745" s="75" t="s">
        <v>1073</v>
      </c>
      <c r="BF745" s="39"/>
      <c r="BG745" s="7"/>
      <c r="BH745" s="62"/>
      <c r="BI745" s="7"/>
      <c r="BJ745" s="32"/>
      <c r="BK745" s="256"/>
    </row>
    <row r="746" spans="1:63" ht="23.25" customHeight="1" thickBot="1" x14ac:dyDescent="0.25">
      <c r="A746" s="62">
        <v>745</v>
      </c>
      <c r="B746" s="221"/>
      <c r="C746" s="221"/>
      <c r="D746" s="223"/>
      <c r="E746" s="54" t="s">
        <v>487</v>
      </c>
      <c r="F746" s="16">
        <f t="shared" si="47"/>
        <v>82.142857142857139</v>
      </c>
      <c r="G746" s="8">
        <v>0</v>
      </c>
      <c r="H746" s="8">
        <f t="shared" si="48"/>
        <v>10.714285714285714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17">
        <v>0</v>
      </c>
      <c r="T746" s="8">
        <v>7.1428571428571423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  <c r="AB746" s="8">
        <v>0</v>
      </c>
      <c r="AC746" s="8">
        <v>0</v>
      </c>
      <c r="AD746" s="14">
        <f t="shared" si="46"/>
        <v>99.999999999999986</v>
      </c>
      <c r="AE746" s="8">
        <f>1.3/14*100</f>
        <v>9.2857142857142865</v>
      </c>
      <c r="AF746" s="8">
        <v>0</v>
      </c>
      <c r="AG746" s="8">
        <v>0</v>
      </c>
      <c r="AH746" s="8">
        <v>0</v>
      </c>
      <c r="AJ746" s="7"/>
      <c r="AK746" s="62"/>
      <c r="AL746" s="158"/>
      <c r="AM746" s="85"/>
      <c r="AN746" s="85"/>
      <c r="AO746" s="85"/>
      <c r="AP746" s="85"/>
      <c r="AQ746" s="85"/>
      <c r="AR746" s="85"/>
      <c r="AS746" s="85"/>
      <c r="AT746" s="205"/>
      <c r="AU746" s="85"/>
      <c r="AV746" s="196"/>
      <c r="AW746" s="85"/>
      <c r="AX746" s="85"/>
      <c r="AY746" s="39"/>
      <c r="AZ746" s="7"/>
      <c r="BA746" s="62"/>
      <c r="BB746" s="7" t="s">
        <v>523</v>
      </c>
      <c r="BC746" s="75" t="s">
        <v>1054</v>
      </c>
      <c r="BD746" s="75" t="s">
        <v>1062</v>
      </c>
      <c r="BE746" s="75" t="s">
        <v>1074</v>
      </c>
      <c r="BF746" s="39"/>
      <c r="BG746" s="7"/>
      <c r="BH746" s="62"/>
      <c r="BI746" s="7"/>
      <c r="BJ746" s="32"/>
      <c r="BK746" s="256"/>
    </row>
    <row r="747" spans="1:63" s="38" customFormat="1" ht="23.25" customHeight="1" thickBot="1" x14ac:dyDescent="0.25">
      <c r="A747" s="7">
        <v>746</v>
      </c>
      <c r="B747" s="221"/>
      <c r="C747" s="221"/>
      <c r="D747" s="223" t="s">
        <v>187</v>
      </c>
      <c r="E747" s="54" t="s">
        <v>334</v>
      </c>
      <c r="F747" s="16">
        <f t="shared" si="47"/>
        <v>82.142857142857139</v>
      </c>
      <c r="G747" s="8">
        <v>0</v>
      </c>
      <c r="H747" s="8">
        <f t="shared" si="48"/>
        <v>10.714285714285714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17">
        <v>0</v>
      </c>
      <c r="T747" s="8">
        <v>7.1428571428571423</v>
      </c>
      <c r="U747" s="8">
        <v>0</v>
      </c>
      <c r="V747" s="8">
        <v>0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14">
        <f t="shared" si="46"/>
        <v>99.999999999999986</v>
      </c>
      <c r="AE747" s="8">
        <v>0</v>
      </c>
      <c r="AF747" s="8">
        <f>0.2/14*100</f>
        <v>1.4285714285714286</v>
      </c>
      <c r="AG747" s="8">
        <v>0</v>
      </c>
      <c r="AH747" s="8">
        <v>0</v>
      </c>
      <c r="AI747" s="39"/>
      <c r="AJ747" s="7"/>
      <c r="AK747" s="62"/>
      <c r="AL747" s="158"/>
      <c r="AM747" s="85"/>
      <c r="AN747" s="85"/>
      <c r="AO747" s="85"/>
      <c r="AP747" s="85"/>
      <c r="AQ747" s="85"/>
      <c r="AR747" s="85"/>
      <c r="AS747" s="85"/>
      <c r="AT747" s="205"/>
      <c r="AU747" s="85"/>
      <c r="AV747" s="196"/>
      <c r="AW747" s="85"/>
      <c r="AX747" s="85"/>
      <c r="AY747" s="39"/>
      <c r="AZ747" s="7"/>
      <c r="BA747" s="62"/>
      <c r="BB747" s="7" t="s">
        <v>523</v>
      </c>
      <c r="BC747" s="75" t="s">
        <v>1055</v>
      </c>
      <c r="BD747" s="75" t="s">
        <v>1061</v>
      </c>
      <c r="BE747" s="75" t="s">
        <v>1075</v>
      </c>
      <c r="BF747" s="39"/>
      <c r="BG747" s="7"/>
      <c r="BH747" s="62"/>
      <c r="BI747" s="7"/>
      <c r="BJ747" s="32"/>
      <c r="BK747" s="256"/>
    </row>
    <row r="748" spans="1:63" ht="23.25" customHeight="1" thickBot="1" x14ac:dyDescent="0.25">
      <c r="A748" s="62">
        <v>747</v>
      </c>
      <c r="B748" s="221"/>
      <c r="C748" s="221"/>
      <c r="D748" s="223"/>
      <c r="E748" s="54" t="s">
        <v>336</v>
      </c>
      <c r="F748" s="16">
        <f t="shared" si="47"/>
        <v>82.142857142857139</v>
      </c>
      <c r="G748" s="8">
        <v>0</v>
      </c>
      <c r="H748" s="8">
        <f t="shared" si="48"/>
        <v>10.714285714285714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>
        <v>0</v>
      </c>
      <c r="S748" s="17">
        <v>0</v>
      </c>
      <c r="T748" s="8">
        <v>7.1428571428571423</v>
      </c>
      <c r="U748" s="8">
        <v>0</v>
      </c>
      <c r="V748" s="8">
        <v>0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14">
        <f t="shared" si="46"/>
        <v>99.999999999999986</v>
      </c>
      <c r="AE748" s="8">
        <f>0.5/14*100</f>
        <v>3.5714285714285712</v>
      </c>
      <c r="AF748" s="8">
        <f>0.2/14*100</f>
        <v>1.4285714285714286</v>
      </c>
      <c r="AG748" s="8">
        <v>0</v>
      </c>
      <c r="AH748" s="8">
        <v>0</v>
      </c>
      <c r="AJ748" s="7"/>
      <c r="AK748" s="62"/>
      <c r="AL748" s="158"/>
      <c r="AM748" s="85"/>
      <c r="AN748" s="85"/>
      <c r="AO748" s="85"/>
      <c r="AP748" s="85"/>
      <c r="AQ748" s="85"/>
      <c r="AR748" s="85"/>
      <c r="AS748" s="85"/>
      <c r="AT748" s="205"/>
      <c r="AU748" s="85"/>
      <c r="AV748" s="196"/>
      <c r="AW748" s="85"/>
      <c r="AX748" s="85"/>
      <c r="AY748" s="39"/>
      <c r="AZ748" s="7"/>
      <c r="BA748" s="62"/>
      <c r="BB748" s="7" t="s">
        <v>523</v>
      </c>
      <c r="BC748" s="75" t="s">
        <v>1056</v>
      </c>
      <c r="BD748" s="75" t="s">
        <v>1060</v>
      </c>
      <c r="BE748" s="75" t="s">
        <v>1076</v>
      </c>
      <c r="BF748" s="39"/>
      <c r="BG748" s="7"/>
      <c r="BH748" s="62"/>
      <c r="BI748" s="7"/>
      <c r="BJ748" s="32"/>
      <c r="BK748" s="256"/>
    </row>
    <row r="749" spans="1:63" ht="23.25" customHeight="1" thickBot="1" x14ac:dyDescent="0.25">
      <c r="A749" s="7">
        <v>748</v>
      </c>
      <c r="B749" s="222"/>
      <c r="C749" s="222"/>
      <c r="D749" s="224"/>
      <c r="E749" s="54" t="s">
        <v>480</v>
      </c>
      <c r="F749" s="16">
        <f t="shared" si="47"/>
        <v>82.142857142857139</v>
      </c>
      <c r="G749" s="8">
        <v>0</v>
      </c>
      <c r="H749" s="8">
        <f t="shared" si="48"/>
        <v>10.714285714285714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>
        <v>0</v>
      </c>
      <c r="S749" s="17">
        <v>0</v>
      </c>
      <c r="T749" s="8">
        <v>7.1428571428571423</v>
      </c>
      <c r="U749" s="8">
        <v>0</v>
      </c>
      <c r="V749" s="8">
        <v>0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  <c r="AD749" s="14">
        <f t="shared" si="46"/>
        <v>99.999999999999986</v>
      </c>
      <c r="AE749" s="8">
        <f>1/14*100</f>
        <v>7.1428571428571423</v>
      </c>
      <c r="AF749" s="8">
        <f>0.2/14*100</f>
        <v>1.4285714285714286</v>
      </c>
      <c r="AG749" s="8">
        <v>0</v>
      </c>
      <c r="AH749" s="8">
        <v>0</v>
      </c>
      <c r="AJ749" s="7"/>
      <c r="AK749" s="62"/>
      <c r="AL749" s="158"/>
      <c r="AM749" s="85"/>
      <c r="AN749" s="85"/>
      <c r="AO749" s="85"/>
      <c r="AP749" s="85"/>
      <c r="AQ749" s="85"/>
      <c r="AR749" s="85"/>
      <c r="AS749" s="85"/>
      <c r="AT749" s="205"/>
      <c r="AU749" s="85"/>
      <c r="AV749" s="196"/>
      <c r="AW749" s="85"/>
      <c r="AX749" s="85"/>
      <c r="AY749" s="39"/>
      <c r="AZ749" s="7"/>
      <c r="BA749" s="62"/>
      <c r="BB749" s="7" t="s">
        <v>523</v>
      </c>
      <c r="BC749" s="75" t="s">
        <v>1057</v>
      </c>
      <c r="BD749" s="75" t="s">
        <v>1059</v>
      </c>
      <c r="BE749" s="75" t="s">
        <v>1077</v>
      </c>
      <c r="BF749" s="39"/>
      <c r="BG749" s="7"/>
      <c r="BH749" s="62"/>
      <c r="BI749" s="7"/>
      <c r="BJ749" s="32"/>
      <c r="BK749" s="256"/>
    </row>
    <row r="750" spans="1:63" s="4" customFormat="1" ht="23.25" customHeight="1" thickBot="1" x14ac:dyDescent="0.25">
      <c r="A750" s="62">
        <v>749</v>
      </c>
      <c r="B750" s="238">
        <v>52</v>
      </c>
      <c r="C750" s="238" t="s">
        <v>1846</v>
      </c>
      <c r="D750" s="225" t="s">
        <v>0</v>
      </c>
      <c r="E750" s="12"/>
      <c r="F750" s="87">
        <v>81.428571428571431</v>
      </c>
      <c r="G750" s="88">
        <v>11.428571428571429</v>
      </c>
      <c r="H750" s="88">
        <v>0</v>
      </c>
      <c r="I750" s="88">
        <v>0</v>
      </c>
      <c r="J750" s="88">
        <v>0</v>
      </c>
      <c r="K750" s="88">
        <v>0</v>
      </c>
      <c r="L750" s="88">
        <v>0</v>
      </c>
      <c r="M750" s="88">
        <v>0</v>
      </c>
      <c r="N750" s="88">
        <v>0</v>
      </c>
      <c r="O750" s="88">
        <v>0</v>
      </c>
      <c r="P750" s="88">
        <v>0</v>
      </c>
      <c r="Q750" s="88">
        <v>0</v>
      </c>
      <c r="R750" s="88">
        <v>0</v>
      </c>
      <c r="S750" s="89">
        <v>0</v>
      </c>
      <c r="T750" s="88">
        <v>7.1428571428571423</v>
      </c>
      <c r="U750" s="88">
        <v>0</v>
      </c>
      <c r="V750" s="88">
        <v>0</v>
      </c>
      <c r="W750" s="88">
        <v>0</v>
      </c>
      <c r="X750" s="88">
        <v>0</v>
      </c>
      <c r="Y750" s="88">
        <v>0</v>
      </c>
      <c r="Z750" s="88">
        <v>0</v>
      </c>
      <c r="AA750" s="88">
        <v>0</v>
      </c>
      <c r="AB750" s="88">
        <v>0</v>
      </c>
      <c r="AC750" s="88">
        <v>0</v>
      </c>
      <c r="AD750" s="90">
        <f t="shared" si="46"/>
        <v>100</v>
      </c>
      <c r="AE750" s="88">
        <v>0</v>
      </c>
      <c r="AF750" s="88">
        <v>0</v>
      </c>
      <c r="AG750" s="88">
        <v>0</v>
      </c>
      <c r="AH750" s="88">
        <v>0</v>
      </c>
      <c r="AI750" s="156" t="s">
        <v>1531</v>
      </c>
      <c r="AJ750" s="45">
        <v>336</v>
      </c>
      <c r="AK750" s="91">
        <v>1273</v>
      </c>
      <c r="AL750" s="197"/>
      <c r="AM750" s="189"/>
      <c r="AN750" s="189"/>
      <c r="AO750" s="189"/>
      <c r="AP750" s="189"/>
      <c r="AQ750" s="189"/>
      <c r="AR750" s="189"/>
      <c r="AS750" s="189"/>
      <c r="AT750" s="198"/>
      <c r="AU750" s="189"/>
      <c r="AV750" s="199"/>
      <c r="AW750" s="189"/>
      <c r="AX750" s="189"/>
      <c r="AY750" s="156"/>
      <c r="AZ750" s="45"/>
      <c r="BA750" s="91"/>
      <c r="BB750" s="45" t="s">
        <v>997</v>
      </c>
      <c r="BC750" s="187" t="s">
        <v>1043</v>
      </c>
      <c r="BD750" s="187" t="s">
        <v>1045</v>
      </c>
      <c r="BE750" s="187" t="s">
        <v>1047</v>
      </c>
      <c r="BF750" s="156"/>
      <c r="BG750" s="45"/>
      <c r="BH750" s="91"/>
      <c r="BI750" s="45"/>
      <c r="BJ750" s="67"/>
      <c r="BK750" s="256"/>
    </row>
    <row r="751" spans="1:63" s="6" customFormat="1" ht="23.25" customHeight="1" thickBot="1" x14ac:dyDescent="0.25">
      <c r="A751" s="7">
        <v>750</v>
      </c>
      <c r="B751" s="222"/>
      <c r="C751" s="222"/>
      <c r="D751" s="224"/>
      <c r="E751" s="13"/>
      <c r="F751" s="80">
        <v>81.428571428571431</v>
      </c>
      <c r="G751" s="81">
        <v>11.428571428571429</v>
      </c>
      <c r="H751" s="81">
        <v>0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>
        <v>0</v>
      </c>
      <c r="T751" s="81">
        <v>7.1428571428571423</v>
      </c>
      <c r="U751" s="81">
        <v>0</v>
      </c>
      <c r="V751" s="81">
        <v>0</v>
      </c>
      <c r="W751" s="81">
        <v>0</v>
      </c>
      <c r="X751" s="81">
        <v>0</v>
      </c>
      <c r="Y751" s="81">
        <v>0</v>
      </c>
      <c r="Z751" s="81">
        <v>0</v>
      </c>
      <c r="AA751" s="81">
        <v>0</v>
      </c>
      <c r="AB751" s="81">
        <v>0</v>
      </c>
      <c r="AC751" s="81">
        <v>0</v>
      </c>
      <c r="AD751" s="83">
        <f t="shared" si="46"/>
        <v>100</v>
      </c>
      <c r="AE751" s="81">
        <v>0</v>
      </c>
      <c r="AF751" s="81">
        <v>0</v>
      </c>
      <c r="AG751" s="81">
        <v>0</v>
      </c>
      <c r="AH751" s="81">
        <v>0</v>
      </c>
      <c r="AI751" s="79" t="s">
        <v>1529</v>
      </c>
      <c r="AJ751" s="65">
        <v>0.33</v>
      </c>
      <c r="AK751" s="78">
        <v>1273</v>
      </c>
      <c r="AL751" s="200"/>
      <c r="AM751" s="190"/>
      <c r="AN751" s="190"/>
      <c r="AO751" s="190"/>
      <c r="AP751" s="190"/>
      <c r="AQ751" s="190"/>
      <c r="AR751" s="190"/>
      <c r="AS751" s="190"/>
      <c r="AT751" s="201"/>
      <c r="AU751" s="190"/>
      <c r="AV751" s="202"/>
      <c r="AW751" s="190"/>
      <c r="AX751" s="190"/>
      <c r="AY751" s="79"/>
      <c r="AZ751" s="65"/>
      <c r="BA751" s="78"/>
      <c r="BB751" s="65" t="s">
        <v>997</v>
      </c>
      <c r="BC751" s="188" t="s">
        <v>1044</v>
      </c>
      <c r="BD751" s="188" t="s">
        <v>1046</v>
      </c>
      <c r="BE751" s="188" t="s">
        <v>1048</v>
      </c>
      <c r="BF751" s="79"/>
      <c r="BG751" s="65"/>
      <c r="BH751" s="78"/>
      <c r="BI751" s="65"/>
      <c r="BJ751" s="68"/>
      <c r="BK751" s="256"/>
    </row>
    <row r="752" spans="1:63" ht="23.25" customHeight="1" thickBot="1" x14ac:dyDescent="0.25">
      <c r="A752" s="62">
        <v>751</v>
      </c>
      <c r="B752" s="238">
        <v>111</v>
      </c>
      <c r="C752" s="238" t="s">
        <v>1845</v>
      </c>
      <c r="D752" s="225" t="s">
        <v>495</v>
      </c>
      <c r="E752" s="54" t="s">
        <v>241</v>
      </c>
      <c r="F752" s="16">
        <v>82.142857142857139</v>
      </c>
      <c r="G752" s="8">
        <v>10.714285714285714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>
        <v>0</v>
      </c>
      <c r="S752" s="17">
        <v>0</v>
      </c>
      <c r="T752" s="8">
        <v>7.1428571428571423</v>
      </c>
      <c r="U752" s="8">
        <v>0</v>
      </c>
      <c r="V752" s="8">
        <v>0</v>
      </c>
      <c r="W752" s="8">
        <v>0</v>
      </c>
      <c r="X752" s="8">
        <v>0</v>
      </c>
      <c r="Y752" s="8">
        <v>0</v>
      </c>
      <c r="Z752" s="8">
        <v>0</v>
      </c>
      <c r="AA752" s="8">
        <v>0</v>
      </c>
      <c r="AB752" s="8">
        <v>0</v>
      </c>
      <c r="AC752" s="8">
        <v>0</v>
      </c>
      <c r="AD752" s="14">
        <f t="shared" si="46"/>
        <v>99.999999999999986</v>
      </c>
      <c r="AE752" s="8">
        <v>0</v>
      </c>
      <c r="AF752" s="8">
        <v>0</v>
      </c>
      <c r="AG752" s="8">
        <v>0</v>
      </c>
      <c r="AH752" s="8">
        <v>0</v>
      </c>
      <c r="AI752" s="39" t="s">
        <v>1531</v>
      </c>
      <c r="AJ752" s="7">
        <v>960</v>
      </c>
      <c r="AK752" s="62">
        <v>1373</v>
      </c>
      <c r="AL752" s="158"/>
      <c r="AM752" s="85"/>
      <c r="AN752" s="85"/>
      <c r="AO752" s="85"/>
      <c r="AP752" s="85"/>
      <c r="AQ752" s="85"/>
      <c r="AR752" s="85"/>
      <c r="AS752" s="85"/>
      <c r="AT752" s="205"/>
      <c r="AU752" s="85"/>
      <c r="AV752" s="196"/>
      <c r="AW752" s="85">
        <v>11.467000000000001</v>
      </c>
      <c r="AX752" s="85"/>
      <c r="AY752" s="39"/>
      <c r="AZ752" s="7">
        <v>194.1</v>
      </c>
      <c r="BA752" s="62"/>
      <c r="BB752" s="7">
        <v>5</v>
      </c>
      <c r="BC752" s="192">
        <v>22.9</v>
      </c>
      <c r="BD752" s="75">
        <v>201</v>
      </c>
      <c r="BE752" s="75">
        <v>20.8</v>
      </c>
      <c r="BF752" s="39"/>
      <c r="BG752" s="7"/>
      <c r="BH752" s="62"/>
      <c r="BI752" s="7"/>
      <c r="BJ752" s="32"/>
      <c r="BK752" s="256"/>
    </row>
    <row r="753" spans="1:63" ht="23.25" customHeight="1" thickBot="1" x14ac:dyDescent="0.25">
      <c r="A753" s="7">
        <v>752</v>
      </c>
      <c r="B753" s="221"/>
      <c r="C753" s="221"/>
      <c r="D753" s="223"/>
      <c r="E753" s="54" t="s">
        <v>248</v>
      </c>
      <c r="F753" s="16">
        <v>82.142857142857139</v>
      </c>
      <c r="G753" s="8">
        <v>10.714285714285714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17">
        <v>0</v>
      </c>
      <c r="T753" s="8">
        <v>6.4285714285714297</v>
      </c>
      <c r="U753" s="8">
        <v>0</v>
      </c>
      <c r="V753" s="8">
        <v>0</v>
      </c>
      <c r="W753" s="8">
        <v>0.7142857142857143</v>
      </c>
      <c r="X753" s="8">
        <v>0</v>
      </c>
      <c r="Y753" s="8">
        <v>0</v>
      </c>
      <c r="Z753" s="8">
        <v>0</v>
      </c>
      <c r="AA753" s="8">
        <v>0</v>
      </c>
      <c r="AB753" s="8">
        <v>0</v>
      </c>
      <c r="AC753" s="8">
        <v>0</v>
      </c>
      <c r="AD753" s="14">
        <f t="shared" si="46"/>
        <v>99.999999999999986</v>
      </c>
      <c r="AE753" s="8">
        <v>0</v>
      </c>
      <c r="AF753" s="8">
        <v>0</v>
      </c>
      <c r="AG753" s="8">
        <v>0</v>
      </c>
      <c r="AH753" s="8">
        <v>0</v>
      </c>
      <c r="AI753" s="39" t="s">
        <v>1531</v>
      </c>
      <c r="AJ753" s="7">
        <v>960</v>
      </c>
      <c r="AK753" s="62">
        <v>1373</v>
      </c>
      <c r="AL753" s="158"/>
      <c r="AM753" s="85"/>
      <c r="AN753" s="85"/>
      <c r="AO753" s="85"/>
      <c r="AP753" s="85"/>
      <c r="AQ753" s="85"/>
      <c r="AR753" s="85"/>
      <c r="AS753" s="85"/>
      <c r="AT753" s="205"/>
      <c r="AU753" s="85"/>
      <c r="AV753" s="196"/>
      <c r="AW753" s="85">
        <v>11.462</v>
      </c>
      <c r="AX753" s="85"/>
      <c r="AY753" s="39"/>
      <c r="AZ753" s="7">
        <v>191.1</v>
      </c>
      <c r="BA753" s="62"/>
      <c r="BB753" s="7">
        <v>5</v>
      </c>
      <c r="BC753" s="192">
        <v>25.8</v>
      </c>
      <c r="BD753" s="75">
        <v>199.4</v>
      </c>
      <c r="BE753" s="75">
        <v>21.3</v>
      </c>
      <c r="BF753" s="39"/>
      <c r="BG753" s="7"/>
      <c r="BH753" s="62"/>
      <c r="BI753" s="7"/>
      <c r="BJ753" s="32"/>
      <c r="BK753" s="256"/>
    </row>
    <row r="754" spans="1:63" ht="23.25" customHeight="1" thickBot="1" x14ac:dyDescent="0.25">
      <c r="A754" s="62">
        <v>753</v>
      </c>
      <c r="B754" s="221"/>
      <c r="C754" s="221"/>
      <c r="D754" s="223"/>
      <c r="E754" s="54" t="s">
        <v>249</v>
      </c>
      <c r="F754" s="16">
        <v>82.142857142857139</v>
      </c>
      <c r="G754" s="8">
        <v>10.714285714285714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17">
        <v>0</v>
      </c>
      <c r="T754" s="8">
        <v>5.7142857142857144</v>
      </c>
      <c r="U754" s="8">
        <v>0</v>
      </c>
      <c r="V754" s="8">
        <v>0</v>
      </c>
      <c r="W754" s="8">
        <v>1.4285714285714286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0</v>
      </c>
      <c r="AD754" s="14">
        <f t="shared" si="46"/>
        <v>99.999999999999986</v>
      </c>
      <c r="AE754" s="8">
        <v>0</v>
      </c>
      <c r="AF754" s="8">
        <v>0</v>
      </c>
      <c r="AG754" s="8">
        <v>0</v>
      </c>
      <c r="AH754" s="8">
        <v>0</v>
      </c>
      <c r="AI754" s="39" t="s">
        <v>1531</v>
      </c>
      <c r="AJ754" s="7">
        <v>960</v>
      </c>
      <c r="AK754" s="62">
        <v>1373</v>
      </c>
      <c r="AL754" s="158"/>
      <c r="AM754" s="85"/>
      <c r="AN754" s="85"/>
      <c r="AO754" s="85"/>
      <c r="AP754" s="85"/>
      <c r="AQ754" s="85"/>
      <c r="AR754" s="85"/>
      <c r="AS754" s="85"/>
      <c r="AT754" s="205"/>
      <c r="AU754" s="85"/>
      <c r="AV754" s="196"/>
      <c r="AW754" s="85">
        <v>11.459</v>
      </c>
      <c r="AX754" s="85"/>
      <c r="AY754" s="39"/>
      <c r="AZ754" s="7">
        <v>188.1</v>
      </c>
      <c r="BA754" s="62"/>
      <c r="BB754" s="7">
        <v>5</v>
      </c>
      <c r="BC754" s="192">
        <v>26.1</v>
      </c>
      <c r="BD754" s="75">
        <v>194.7</v>
      </c>
      <c r="BE754" s="75">
        <v>20.7</v>
      </c>
      <c r="BF754" s="39"/>
      <c r="BG754" s="7"/>
      <c r="BH754" s="62"/>
      <c r="BI754" s="7"/>
      <c r="BJ754" s="32"/>
      <c r="BK754" s="256"/>
    </row>
    <row r="755" spans="1:63" ht="23.25" customHeight="1" thickBot="1" x14ac:dyDescent="0.25">
      <c r="A755" s="7">
        <v>754</v>
      </c>
      <c r="B755" s="221"/>
      <c r="C755" s="221"/>
      <c r="D755" s="223"/>
      <c r="E755" s="54" t="s">
        <v>242</v>
      </c>
      <c r="F755" s="16">
        <v>82.142857142857139</v>
      </c>
      <c r="G755" s="8">
        <v>10.714285714285714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17">
        <v>0</v>
      </c>
      <c r="T755" s="8">
        <v>5</v>
      </c>
      <c r="U755" s="8">
        <v>0</v>
      </c>
      <c r="V755" s="8">
        <v>0</v>
      </c>
      <c r="W755" s="8">
        <v>2.1428571428571428</v>
      </c>
      <c r="X755" s="8">
        <v>0</v>
      </c>
      <c r="Y755" s="8">
        <v>0</v>
      </c>
      <c r="Z755" s="8">
        <v>0</v>
      </c>
      <c r="AA755" s="8">
        <v>0</v>
      </c>
      <c r="AB755" s="8">
        <v>0</v>
      </c>
      <c r="AC755" s="8">
        <v>0</v>
      </c>
      <c r="AD755" s="14">
        <f t="shared" si="46"/>
        <v>99.999999999999986</v>
      </c>
      <c r="AE755" s="8">
        <v>0</v>
      </c>
      <c r="AF755" s="8">
        <v>0</v>
      </c>
      <c r="AG755" s="8">
        <v>0</v>
      </c>
      <c r="AH755" s="8">
        <v>0</v>
      </c>
      <c r="AI755" s="39" t="s">
        <v>1531</v>
      </c>
      <c r="AJ755" s="7">
        <v>960</v>
      </c>
      <c r="AK755" s="62">
        <v>1373</v>
      </c>
      <c r="AL755" s="158"/>
      <c r="AM755" s="85"/>
      <c r="AN755" s="85"/>
      <c r="AO755" s="85"/>
      <c r="AP755" s="85"/>
      <c r="AQ755" s="85"/>
      <c r="AR755" s="85"/>
      <c r="AS755" s="85"/>
      <c r="AT755" s="205"/>
      <c r="AU755" s="85"/>
      <c r="AV755" s="196"/>
      <c r="AW755" s="85">
        <v>11.452999999999999</v>
      </c>
      <c r="AX755" s="85"/>
      <c r="AY755" s="39"/>
      <c r="AZ755" s="7">
        <v>185.1</v>
      </c>
      <c r="BA755" s="62"/>
      <c r="BB755" s="7">
        <v>5</v>
      </c>
      <c r="BC755" s="192">
        <v>28.5</v>
      </c>
      <c r="BD755" s="75">
        <v>192.9</v>
      </c>
      <c r="BE755" s="75">
        <v>19.100000000000001</v>
      </c>
      <c r="BF755" s="39"/>
      <c r="BG755" s="7"/>
      <c r="BH755" s="62"/>
      <c r="BI755" s="7"/>
      <c r="BJ755" s="32"/>
      <c r="BK755" s="256"/>
    </row>
    <row r="756" spans="1:63" ht="23.25" customHeight="1" thickBot="1" x14ac:dyDescent="0.25">
      <c r="A756" s="62">
        <v>755</v>
      </c>
      <c r="B756" s="221"/>
      <c r="C756" s="221"/>
      <c r="D756" s="223"/>
      <c r="E756" s="54" t="s">
        <v>243</v>
      </c>
      <c r="F756" s="16">
        <v>82.142857142857139</v>
      </c>
      <c r="G756" s="8">
        <v>10.714285714285714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17">
        <v>0</v>
      </c>
      <c r="T756" s="8">
        <v>4.2857142857142856</v>
      </c>
      <c r="U756" s="8">
        <v>0</v>
      </c>
      <c r="V756" s="8">
        <v>0</v>
      </c>
      <c r="W756" s="8">
        <v>2.8571428571428572</v>
      </c>
      <c r="X756" s="8">
        <v>0</v>
      </c>
      <c r="Y756" s="8">
        <v>0</v>
      </c>
      <c r="Z756" s="8">
        <v>0</v>
      </c>
      <c r="AA756" s="8">
        <v>0</v>
      </c>
      <c r="AB756" s="8">
        <v>0</v>
      </c>
      <c r="AC756" s="8">
        <v>0</v>
      </c>
      <c r="AD756" s="14">
        <f t="shared" si="46"/>
        <v>100</v>
      </c>
      <c r="AE756" s="8">
        <v>0</v>
      </c>
      <c r="AF756" s="8">
        <v>0</v>
      </c>
      <c r="AG756" s="8">
        <v>0</v>
      </c>
      <c r="AH756" s="8">
        <v>0</v>
      </c>
      <c r="AI756" s="39" t="s">
        <v>1531</v>
      </c>
      <c r="AJ756" s="7">
        <v>960</v>
      </c>
      <c r="AK756" s="62">
        <v>1373</v>
      </c>
      <c r="AL756" s="158"/>
      <c r="AM756" s="85"/>
      <c r="AN756" s="85"/>
      <c r="AO756" s="85"/>
      <c r="AP756" s="85"/>
      <c r="AQ756" s="85"/>
      <c r="AR756" s="85"/>
      <c r="AS756" s="85"/>
      <c r="AT756" s="205"/>
      <c r="AU756" s="85"/>
      <c r="AV756" s="196"/>
      <c r="AW756" s="85">
        <v>11.449</v>
      </c>
      <c r="AX756" s="85"/>
      <c r="AY756" s="39"/>
      <c r="AZ756" s="7">
        <v>182</v>
      </c>
      <c r="BA756" s="62"/>
      <c r="BB756" s="7">
        <v>5</v>
      </c>
      <c r="BC756" s="192">
        <v>27</v>
      </c>
      <c r="BD756" s="75">
        <v>188.4</v>
      </c>
      <c r="BE756" s="75">
        <v>18.399999999999999</v>
      </c>
      <c r="BF756" s="39"/>
      <c r="BG756" s="7"/>
      <c r="BH756" s="62"/>
      <c r="BI756" s="7"/>
      <c r="BJ756" s="32"/>
      <c r="BK756" s="256"/>
    </row>
    <row r="757" spans="1:63" ht="23.25" customHeight="1" thickBot="1" x14ac:dyDescent="0.25">
      <c r="A757" s="7">
        <v>756</v>
      </c>
      <c r="B757" s="222"/>
      <c r="C757" s="222"/>
      <c r="D757" s="224"/>
      <c r="E757" s="54" t="s">
        <v>244</v>
      </c>
      <c r="F757" s="16">
        <v>82.142857142857139</v>
      </c>
      <c r="G757" s="8">
        <v>10.714285714285714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17">
        <v>0</v>
      </c>
      <c r="T757" s="8">
        <v>3.5714285714285712</v>
      </c>
      <c r="U757" s="8">
        <v>0</v>
      </c>
      <c r="V757" s="8">
        <v>0</v>
      </c>
      <c r="W757" s="8">
        <v>3.5714285714285712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14">
        <f t="shared" si="46"/>
        <v>99.999999999999986</v>
      </c>
      <c r="AE757" s="8">
        <v>0</v>
      </c>
      <c r="AF757" s="8">
        <v>0</v>
      </c>
      <c r="AG757" s="8">
        <v>0</v>
      </c>
      <c r="AH757" s="8">
        <v>0</v>
      </c>
      <c r="AI757" s="39" t="s">
        <v>1531</v>
      </c>
      <c r="AJ757" s="7">
        <v>960</v>
      </c>
      <c r="AK757" s="62">
        <v>1373</v>
      </c>
      <c r="AL757" s="158"/>
      <c r="AM757" s="85"/>
      <c r="AN757" s="85"/>
      <c r="AO757" s="85"/>
      <c r="AP757" s="85"/>
      <c r="AQ757" s="85"/>
      <c r="AR757" s="85"/>
      <c r="AS757" s="85"/>
      <c r="AT757" s="205"/>
      <c r="AU757" s="85"/>
      <c r="AV757" s="196"/>
      <c r="AW757" s="85">
        <v>11.444000000000001</v>
      </c>
      <c r="AX757" s="85"/>
      <c r="AY757" s="39"/>
      <c r="AZ757" s="7">
        <v>181.1</v>
      </c>
      <c r="BA757" s="62"/>
      <c r="BB757" s="7">
        <v>5</v>
      </c>
      <c r="BC757" s="192">
        <v>28.4</v>
      </c>
      <c r="BD757" s="75">
        <v>190.3</v>
      </c>
      <c r="BE757" s="75">
        <v>19.100000000000001</v>
      </c>
      <c r="BF757" s="39"/>
      <c r="BG757" s="7"/>
      <c r="BH757" s="62"/>
      <c r="BI757" s="7"/>
      <c r="BJ757" s="32"/>
      <c r="BK757" s="256"/>
    </row>
    <row r="758" spans="1:63" s="4" customFormat="1" ht="23.25" customHeight="1" thickBot="1" x14ac:dyDescent="0.25">
      <c r="A758" s="62">
        <v>757</v>
      </c>
      <c r="B758" s="238">
        <v>142</v>
      </c>
      <c r="C758" s="238" t="s">
        <v>1844</v>
      </c>
      <c r="D758" s="225" t="s">
        <v>176</v>
      </c>
      <c r="E758" s="12" t="s">
        <v>249</v>
      </c>
      <c r="F758" s="87">
        <f>0.88*13/14*100</f>
        <v>81.714285714285708</v>
      </c>
      <c r="G758" s="88">
        <v>0</v>
      </c>
      <c r="H758" s="88">
        <f>0.12*13/14*100</f>
        <v>11.142857142857142</v>
      </c>
      <c r="I758" s="88">
        <v>0</v>
      </c>
      <c r="J758" s="88">
        <v>0</v>
      </c>
      <c r="K758" s="88">
        <v>0</v>
      </c>
      <c r="L758" s="88">
        <v>0</v>
      </c>
      <c r="M758" s="88">
        <v>0</v>
      </c>
      <c r="N758" s="88">
        <v>0</v>
      </c>
      <c r="O758" s="88">
        <v>0</v>
      </c>
      <c r="P758" s="88">
        <v>0</v>
      </c>
      <c r="Q758" s="88">
        <v>0</v>
      </c>
      <c r="R758" s="88">
        <v>0</v>
      </c>
      <c r="S758" s="89">
        <v>0</v>
      </c>
      <c r="T758" s="88">
        <f>1/14*100</f>
        <v>7.1428571428571423</v>
      </c>
      <c r="U758" s="88">
        <v>0</v>
      </c>
      <c r="V758" s="88">
        <v>0</v>
      </c>
      <c r="W758" s="88">
        <v>0</v>
      </c>
      <c r="X758" s="88">
        <v>0</v>
      </c>
      <c r="Y758" s="88">
        <v>0</v>
      </c>
      <c r="Z758" s="88">
        <v>0</v>
      </c>
      <c r="AA758" s="88">
        <v>0</v>
      </c>
      <c r="AB758" s="88">
        <v>0</v>
      </c>
      <c r="AC758" s="88">
        <v>0</v>
      </c>
      <c r="AD758" s="90">
        <f t="shared" si="46"/>
        <v>99.999999999999986</v>
      </c>
      <c r="AE758" s="88">
        <v>0</v>
      </c>
      <c r="AF758" s="88">
        <f>0.2/14*100</f>
        <v>1.4285714285714286</v>
      </c>
      <c r="AG758" s="88">
        <v>0</v>
      </c>
      <c r="AH758" s="88">
        <v>0</v>
      </c>
      <c r="AI758" s="156" t="s">
        <v>1531</v>
      </c>
      <c r="AJ758" s="45">
        <v>360</v>
      </c>
      <c r="AK758" s="91">
        <v>1173</v>
      </c>
      <c r="AL758" s="197"/>
      <c r="AM758" s="189"/>
      <c r="AN758" s="189"/>
      <c r="AO758" s="189"/>
      <c r="AP758" s="189"/>
      <c r="AQ758" s="189"/>
      <c r="AR758" s="189"/>
      <c r="AS758" s="189"/>
      <c r="AT758" s="198"/>
      <c r="AU758" s="189"/>
      <c r="AV758" s="199"/>
      <c r="AW758" s="189"/>
      <c r="AX758" s="189"/>
      <c r="AY758" s="156"/>
      <c r="AZ758" s="45">
        <v>217</v>
      </c>
      <c r="BA758" s="91"/>
      <c r="BB758" s="45" t="s">
        <v>997</v>
      </c>
      <c r="BC758" s="187" t="s">
        <v>1102</v>
      </c>
      <c r="BD758" s="187" t="s">
        <v>1105</v>
      </c>
      <c r="BE758" s="187" t="s">
        <v>1108</v>
      </c>
      <c r="BF758" s="156"/>
      <c r="BG758" s="45"/>
      <c r="BH758" s="91"/>
      <c r="BI758" s="45"/>
      <c r="BJ758" s="67"/>
      <c r="BK758" s="256"/>
    </row>
    <row r="759" spans="1:63" ht="23.25" customHeight="1" thickBot="1" x14ac:dyDescent="0.25">
      <c r="A759" s="7">
        <v>758</v>
      </c>
      <c r="B759" s="221"/>
      <c r="C759" s="221"/>
      <c r="D759" s="223"/>
      <c r="E759" s="54" t="s">
        <v>243</v>
      </c>
      <c r="F759" s="16">
        <v>81.714285714285708</v>
      </c>
      <c r="G759" s="8">
        <v>0</v>
      </c>
      <c r="H759" s="8">
        <v>11.142857142857142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17">
        <v>0</v>
      </c>
      <c r="T759" s="8">
        <v>7.1428571428571423</v>
      </c>
      <c r="U759" s="8">
        <v>0</v>
      </c>
      <c r="V759" s="8">
        <v>0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  <c r="AB759" s="8">
        <v>0</v>
      </c>
      <c r="AC759" s="8">
        <v>0</v>
      </c>
      <c r="AD759" s="14">
        <f t="shared" si="46"/>
        <v>99.999999999999986</v>
      </c>
      <c r="AE759" s="8">
        <v>0</v>
      </c>
      <c r="AF759" s="8">
        <f>0.4/14*100</f>
        <v>2.8571428571428572</v>
      </c>
      <c r="AG759" s="8">
        <v>0</v>
      </c>
      <c r="AH759" s="8">
        <v>0</v>
      </c>
      <c r="AI759" s="39" t="s">
        <v>1531</v>
      </c>
      <c r="AJ759" s="7">
        <v>360</v>
      </c>
      <c r="AK759" s="62">
        <v>1173</v>
      </c>
      <c r="AL759" s="158"/>
      <c r="AM759" s="85"/>
      <c r="AN759" s="85"/>
      <c r="AO759" s="85"/>
      <c r="AP759" s="85"/>
      <c r="AQ759" s="85"/>
      <c r="AR759" s="85"/>
      <c r="AS759" s="85"/>
      <c r="AT759" s="205"/>
      <c r="AU759" s="85"/>
      <c r="AV759" s="196"/>
      <c r="AW759" s="85"/>
      <c r="AX759" s="85"/>
      <c r="AY759" s="39"/>
      <c r="AZ759" s="7">
        <v>247</v>
      </c>
      <c r="BA759" s="62"/>
      <c r="BB759" s="7" t="s">
        <v>997</v>
      </c>
      <c r="BC759" s="75" t="s">
        <v>1103</v>
      </c>
      <c r="BD759" s="75" t="s">
        <v>1106</v>
      </c>
      <c r="BE759" s="75"/>
      <c r="BF759" s="39"/>
      <c r="BG759" s="7"/>
      <c r="BH759" s="62"/>
      <c r="BI759" s="7"/>
      <c r="BJ759" s="32"/>
      <c r="BK759" s="256"/>
    </row>
    <row r="760" spans="1:63" s="6" customFormat="1" ht="23.25" customHeight="1" thickBot="1" x14ac:dyDescent="0.25">
      <c r="A760" s="62">
        <v>759</v>
      </c>
      <c r="B760" s="222"/>
      <c r="C760" s="222"/>
      <c r="D760" s="224"/>
      <c r="E760" s="13" t="s">
        <v>245</v>
      </c>
      <c r="F760" s="80">
        <v>81.714285714285708</v>
      </c>
      <c r="G760" s="81">
        <v>0</v>
      </c>
      <c r="H760" s="81">
        <v>11.142857142857142</v>
      </c>
      <c r="I760" s="81">
        <v>0</v>
      </c>
      <c r="J760" s="81">
        <v>0</v>
      </c>
      <c r="K760" s="81">
        <v>0</v>
      </c>
      <c r="L760" s="81">
        <v>0</v>
      </c>
      <c r="M760" s="81">
        <v>0</v>
      </c>
      <c r="N760" s="81">
        <v>0</v>
      </c>
      <c r="O760" s="81">
        <v>0</v>
      </c>
      <c r="P760" s="81">
        <v>0</v>
      </c>
      <c r="Q760" s="81">
        <v>0</v>
      </c>
      <c r="R760" s="81">
        <v>0</v>
      </c>
      <c r="S760" s="82">
        <v>0</v>
      </c>
      <c r="T760" s="81">
        <v>7.1428571428571423</v>
      </c>
      <c r="U760" s="81">
        <v>0</v>
      </c>
      <c r="V760" s="81">
        <v>0</v>
      </c>
      <c r="W760" s="81">
        <v>0</v>
      </c>
      <c r="X760" s="81">
        <v>0</v>
      </c>
      <c r="Y760" s="81">
        <v>0</v>
      </c>
      <c r="Z760" s="81">
        <v>0</v>
      </c>
      <c r="AA760" s="81">
        <v>0</v>
      </c>
      <c r="AB760" s="81">
        <v>0</v>
      </c>
      <c r="AC760" s="81">
        <v>0</v>
      </c>
      <c r="AD760" s="83">
        <f t="shared" si="46"/>
        <v>99.999999999999986</v>
      </c>
      <c r="AE760" s="81">
        <v>0</v>
      </c>
      <c r="AF760" s="81">
        <f>0.6/14*100</f>
        <v>4.2857142857142856</v>
      </c>
      <c r="AG760" s="81">
        <v>0</v>
      </c>
      <c r="AH760" s="81">
        <v>0</v>
      </c>
      <c r="AI760" s="79" t="s">
        <v>1531</v>
      </c>
      <c r="AJ760" s="65">
        <v>360</v>
      </c>
      <c r="AK760" s="78">
        <v>1173</v>
      </c>
      <c r="AL760" s="200"/>
      <c r="AM760" s="190"/>
      <c r="AN760" s="190"/>
      <c r="AO760" s="190"/>
      <c r="AP760" s="190"/>
      <c r="AQ760" s="190"/>
      <c r="AR760" s="190"/>
      <c r="AS760" s="190"/>
      <c r="AT760" s="201"/>
      <c r="AU760" s="190"/>
      <c r="AV760" s="202"/>
      <c r="AW760" s="190"/>
      <c r="AX760" s="190"/>
      <c r="AY760" s="79"/>
      <c r="AZ760" s="65">
        <v>266</v>
      </c>
      <c r="BA760" s="78"/>
      <c r="BB760" s="65" t="s">
        <v>997</v>
      </c>
      <c r="BC760" s="188" t="s">
        <v>1104</v>
      </c>
      <c r="BD760" s="188" t="s">
        <v>1107</v>
      </c>
      <c r="BE760" s="188"/>
      <c r="BF760" s="79"/>
      <c r="BG760" s="65"/>
      <c r="BH760" s="78"/>
      <c r="BI760" s="65"/>
      <c r="BJ760" s="68"/>
      <c r="BK760" s="256"/>
    </row>
    <row r="761" spans="1:63" ht="23.25" customHeight="1" thickBot="1" x14ac:dyDescent="0.25">
      <c r="A761" s="7">
        <v>760</v>
      </c>
      <c r="B761" s="238">
        <v>171</v>
      </c>
      <c r="C761" s="238" t="s">
        <v>1843</v>
      </c>
      <c r="D761" s="54" t="s">
        <v>188</v>
      </c>
      <c r="E761" s="54"/>
      <c r="F761" s="16">
        <v>80</v>
      </c>
      <c r="G761" s="8">
        <v>7.8571428571428585</v>
      </c>
      <c r="H761" s="8">
        <v>0</v>
      </c>
      <c r="I761" s="8">
        <v>0</v>
      </c>
      <c r="J761" s="8">
        <v>5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>
        <v>0</v>
      </c>
      <c r="S761" s="17">
        <v>0</v>
      </c>
      <c r="T761" s="8">
        <v>6.4285714285714297</v>
      </c>
      <c r="U761" s="8">
        <v>0</v>
      </c>
      <c r="V761" s="8">
        <v>0</v>
      </c>
      <c r="W761" s="8">
        <v>0.71428571428571441</v>
      </c>
      <c r="X761" s="8">
        <v>0</v>
      </c>
      <c r="Y761" s="8">
        <v>0</v>
      </c>
      <c r="Z761" s="8">
        <v>0</v>
      </c>
      <c r="AA761" s="8">
        <v>0</v>
      </c>
      <c r="AB761" s="8">
        <v>0</v>
      </c>
      <c r="AC761" s="8">
        <v>0</v>
      </c>
      <c r="AD761" s="14">
        <f t="shared" si="46"/>
        <v>100</v>
      </c>
      <c r="AE761" s="8">
        <v>0</v>
      </c>
      <c r="AF761" s="8">
        <v>0</v>
      </c>
      <c r="AG761" s="8">
        <v>0</v>
      </c>
      <c r="AH761" s="8">
        <v>0</v>
      </c>
      <c r="AI761" s="39" t="s">
        <v>1531</v>
      </c>
      <c r="AJ761" s="7">
        <v>360</v>
      </c>
      <c r="AK761" s="62">
        <v>1323</v>
      </c>
      <c r="AL761" s="158"/>
      <c r="AM761" s="85"/>
      <c r="AN761" s="85"/>
      <c r="AO761" s="85"/>
      <c r="AP761" s="85"/>
      <c r="AQ761" s="85"/>
      <c r="AR761" s="85"/>
      <c r="AS761" s="85"/>
      <c r="AT761" s="205"/>
      <c r="AU761" s="85"/>
      <c r="AV761" s="196"/>
      <c r="AW761" s="85">
        <v>11.474</v>
      </c>
      <c r="AX761" s="85"/>
      <c r="AY761" s="39">
        <v>0.01</v>
      </c>
      <c r="AZ761" s="7">
        <v>259</v>
      </c>
      <c r="BA761" s="62"/>
      <c r="BB761" s="7" t="s">
        <v>590</v>
      </c>
      <c r="BC761" s="75" t="s">
        <v>1097</v>
      </c>
      <c r="BD761" s="75" t="s">
        <v>1098</v>
      </c>
      <c r="BE761" s="75" t="s">
        <v>1100</v>
      </c>
      <c r="BF761" s="39"/>
      <c r="BG761" s="7"/>
      <c r="BH761" s="62"/>
      <c r="BI761" s="7"/>
      <c r="BJ761" s="32"/>
      <c r="BK761" s="256"/>
    </row>
    <row r="762" spans="1:63" ht="23.25" customHeight="1" thickBot="1" x14ac:dyDescent="0.25">
      <c r="A762" s="62">
        <v>761</v>
      </c>
      <c r="B762" s="222"/>
      <c r="C762" s="222"/>
      <c r="D762" s="54" t="s">
        <v>189</v>
      </c>
      <c r="E762" s="54"/>
      <c r="F762" s="16">
        <v>80</v>
      </c>
      <c r="G762" s="8">
        <v>7.8571428571428585</v>
      </c>
      <c r="H762" s="8">
        <v>0</v>
      </c>
      <c r="I762" s="8">
        <v>0</v>
      </c>
      <c r="J762" s="8">
        <v>5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17">
        <v>0</v>
      </c>
      <c r="T762" s="8">
        <v>6.4285714285714297</v>
      </c>
      <c r="U762" s="8">
        <v>0</v>
      </c>
      <c r="V762" s="8">
        <v>0</v>
      </c>
      <c r="W762" s="8">
        <v>0</v>
      </c>
      <c r="X762" s="8">
        <v>0</v>
      </c>
      <c r="Y762" s="8">
        <v>0.71428571428571441</v>
      </c>
      <c r="Z762" s="8">
        <v>0</v>
      </c>
      <c r="AA762" s="8">
        <v>0</v>
      </c>
      <c r="AB762" s="8">
        <v>0</v>
      </c>
      <c r="AC762" s="8">
        <v>0</v>
      </c>
      <c r="AD762" s="14">
        <f t="shared" si="46"/>
        <v>100</v>
      </c>
      <c r="AE762" s="8">
        <v>0</v>
      </c>
      <c r="AF762" s="8">
        <v>0</v>
      </c>
      <c r="AG762" s="8">
        <v>0</v>
      </c>
      <c r="AH762" s="8">
        <v>0</v>
      </c>
      <c r="AI762" s="39" t="s">
        <v>1531</v>
      </c>
      <c r="AJ762" s="7">
        <v>360</v>
      </c>
      <c r="AK762" s="62">
        <v>1323</v>
      </c>
      <c r="AL762" s="158"/>
      <c r="AM762" s="85"/>
      <c r="AN762" s="85"/>
      <c r="AO762" s="85"/>
      <c r="AP762" s="85"/>
      <c r="AQ762" s="85"/>
      <c r="AR762" s="85"/>
      <c r="AS762" s="85"/>
      <c r="AT762" s="205"/>
      <c r="AU762" s="85"/>
      <c r="AV762" s="196"/>
      <c r="AW762" s="85">
        <v>11.47</v>
      </c>
      <c r="AX762" s="85"/>
      <c r="AY762" s="39">
        <v>0.01</v>
      </c>
      <c r="AZ762" s="7">
        <v>263</v>
      </c>
      <c r="BA762" s="62"/>
      <c r="BB762" s="7" t="s">
        <v>590</v>
      </c>
      <c r="BC762" s="75" t="s">
        <v>1096</v>
      </c>
      <c r="BD762" s="75" t="s">
        <v>1099</v>
      </c>
      <c r="BE762" s="75" t="s">
        <v>1101</v>
      </c>
      <c r="BF762" s="39"/>
      <c r="BG762" s="7"/>
      <c r="BH762" s="62"/>
      <c r="BI762" s="7"/>
      <c r="BJ762" s="32"/>
      <c r="BK762" s="256"/>
    </row>
    <row r="763" spans="1:63" s="4" customFormat="1" ht="23.25" customHeight="1" thickBot="1" x14ac:dyDescent="0.25">
      <c r="A763" s="7">
        <v>762</v>
      </c>
      <c r="B763" s="238">
        <v>179</v>
      </c>
      <c r="C763" s="238" t="s">
        <v>1842</v>
      </c>
      <c r="D763" s="225" t="s">
        <v>190</v>
      </c>
      <c r="E763" s="12"/>
      <c r="F763" s="87">
        <f>11.3/14*100</f>
        <v>80.714285714285722</v>
      </c>
      <c r="G763" s="88">
        <f>1.3/14*100</f>
        <v>9.2857142857142865</v>
      </c>
      <c r="H763" s="88">
        <v>0</v>
      </c>
      <c r="I763" s="88">
        <v>0</v>
      </c>
      <c r="J763" s="88">
        <f>0.4/14*100</f>
        <v>2.8571428571428572</v>
      </c>
      <c r="K763" s="88">
        <v>0</v>
      </c>
      <c r="L763" s="88">
        <v>0</v>
      </c>
      <c r="M763" s="88">
        <v>0</v>
      </c>
      <c r="N763" s="88">
        <v>0</v>
      </c>
      <c r="O763" s="88">
        <v>0</v>
      </c>
      <c r="P763" s="88">
        <v>0</v>
      </c>
      <c r="Q763" s="88">
        <v>0</v>
      </c>
      <c r="R763" s="88">
        <v>0</v>
      </c>
      <c r="S763" s="89">
        <v>0</v>
      </c>
      <c r="T763" s="88">
        <f>1/14*100</f>
        <v>7.1428571428571423</v>
      </c>
      <c r="U763" s="88">
        <v>0</v>
      </c>
      <c r="V763" s="88">
        <v>0</v>
      </c>
      <c r="W763" s="88">
        <v>0</v>
      </c>
      <c r="X763" s="88">
        <v>0</v>
      </c>
      <c r="Y763" s="88">
        <v>0</v>
      </c>
      <c r="Z763" s="88">
        <v>0</v>
      </c>
      <c r="AA763" s="88">
        <v>0</v>
      </c>
      <c r="AB763" s="88">
        <v>0</v>
      </c>
      <c r="AC763" s="88">
        <v>0</v>
      </c>
      <c r="AD763" s="90">
        <f t="shared" ref="AD763:AD817" si="49">SUM(F763:AC763)</f>
        <v>100.00000000000001</v>
      </c>
      <c r="AE763" s="88">
        <v>0</v>
      </c>
      <c r="AF763" s="88">
        <f>0.15/14*100</f>
        <v>1.0714285714285714</v>
      </c>
      <c r="AG763" s="88">
        <v>0</v>
      </c>
      <c r="AH763" s="88">
        <v>0</v>
      </c>
      <c r="AI763" s="156" t="s">
        <v>1531</v>
      </c>
      <c r="AJ763" s="45">
        <v>3</v>
      </c>
      <c r="AK763" s="91"/>
      <c r="AL763" s="209">
        <f>91.3/100.6*100</f>
        <v>90.755467196819083</v>
      </c>
      <c r="AM763" s="210">
        <f>5.9/100.6*100</f>
        <v>5.8648111332007957</v>
      </c>
      <c r="AN763" s="210"/>
      <c r="AO763" s="210"/>
      <c r="AP763" s="210"/>
      <c r="AQ763" s="210">
        <f>3.4/100.6*100</f>
        <v>3.3797216699801194</v>
      </c>
      <c r="AR763" s="189"/>
      <c r="AS763" s="189"/>
      <c r="AT763" s="198"/>
      <c r="AU763" s="189">
        <v>1</v>
      </c>
      <c r="AV763" s="199">
        <f>SUM(AL763:AT763)</f>
        <v>100</v>
      </c>
      <c r="AW763" s="189"/>
      <c r="AX763" s="189"/>
      <c r="AY763" s="156"/>
      <c r="AZ763" s="45"/>
      <c r="BA763" s="91"/>
      <c r="BB763" s="45">
        <v>2</v>
      </c>
      <c r="BC763" s="187">
        <v>9</v>
      </c>
      <c r="BD763" s="187">
        <v>254.9</v>
      </c>
      <c r="BE763" s="187">
        <v>18</v>
      </c>
      <c r="BF763" s="156"/>
      <c r="BG763" s="45"/>
      <c r="BH763" s="91"/>
      <c r="BI763" s="45"/>
      <c r="BJ763" s="67"/>
      <c r="BK763" s="256"/>
    </row>
    <row r="764" spans="1:63" ht="23.25" customHeight="1" thickBot="1" x14ac:dyDescent="0.25">
      <c r="A764" s="62">
        <v>763</v>
      </c>
      <c r="B764" s="221"/>
      <c r="C764" s="221"/>
      <c r="D764" s="223"/>
      <c r="E764" s="54"/>
      <c r="F764" s="16">
        <f>11.3/14*100</f>
        <v>80.714285714285722</v>
      </c>
      <c r="G764" s="8">
        <f>1.3/14*100</f>
        <v>9.2857142857142865</v>
      </c>
      <c r="H764" s="8">
        <v>0</v>
      </c>
      <c r="I764" s="8">
        <v>0</v>
      </c>
      <c r="J764" s="8">
        <f>0.4/14*100</f>
        <v>2.8571428571428572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17">
        <v>0</v>
      </c>
      <c r="T764" s="8">
        <f>1/14*100</f>
        <v>7.1428571428571423</v>
      </c>
      <c r="U764" s="8">
        <v>0</v>
      </c>
      <c r="V764" s="8">
        <v>0</v>
      </c>
      <c r="W764" s="8">
        <v>0</v>
      </c>
      <c r="X764" s="8">
        <v>0</v>
      </c>
      <c r="Y764" s="8">
        <v>0</v>
      </c>
      <c r="Z764" s="8">
        <v>0</v>
      </c>
      <c r="AA764" s="8">
        <v>0</v>
      </c>
      <c r="AB764" s="8">
        <v>0</v>
      </c>
      <c r="AC764" s="8">
        <v>0</v>
      </c>
      <c r="AD764" s="14">
        <f t="shared" si="49"/>
        <v>100.00000000000001</v>
      </c>
      <c r="AE764" s="8">
        <v>0</v>
      </c>
      <c r="AF764" s="8">
        <f t="shared" ref="AF764:AF766" si="50">0.15/14*100</f>
        <v>1.0714285714285714</v>
      </c>
      <c r="AG764" s="8">
        <v>0</v>
      </c>
      <c r="AH764" s="8">
        <v>0</v>
      </c>
      <c r="AI764" s="39" t="s">
        <v>1531</v>
      </c>
      <c r="AJ764" s="7">
        <v>12</v>
      </c>
      <c r="AK764" s="62"/>
      <c r="AL764" s="193">
        <f>96.2/100.6*100</f>
        <v>95.626242544731625</v>
      </c>
      <c r="AM764" s="192">
        <f>2.3/100.6*100</f>
        <v>2.286282306163022</v>
      </c>
      <c r="AN764" s="192"/>
      <c r="AO764" s="192"/>
      <c r="AP764" s="192"/>
      <c r="AQ764" s="192">
        <f>2.1/100.6*100</f>
        <v>2.087475149105368</v>
      </c>
      <c r="AR764" s="85"/>
      <c r="AS764" s="85"/>
      <c r="AT764" s="205"/>
      <c r="AU764" s="85">
        <v>1</v>
      </c>
      <c r="AV764" s="196">
        <f>SUM(AL764:AT764)</f>
        <v>100.00000000000001</v>
      </c>
      <c r="AW764" s="85"/>
      <c r="AX764" s="85"/>
      <c r="AY764" s="39"/>
      <c r="AZ764" s="7"/>
      <c r="BA764" s="62"/>
      <c r="BB764" s="7">
        <v>2</v>
      </c>
      <c r="BC764" s="75">
        <v>9.8000000000000007</v>
      </c>
      <c r="BD764" s="75">
        <v>254.9</v>
      </c>
      <c r="BE764" s="75">
        <v>16.3</v>
      </c>
      <c r="BF764" s="39"/>
      <c r="BG764" s="7"/>
      <c r="BH764" s="62"/>
      <c r="BI764" s="7"/>
      <c r="BJ764" s="32"/>
      <c r="BK764" s="256"/>
    </row>
    <row r="765" spans="1:63" ht="23.25" customHeight="1" thickBot="1" x14ac:dyDescent="0.25">
      <c r="A765" s="7">
        <v>764</v>
      </c>
      <c r="B765" s="221"/>
      <c r="C765" s="221"/>
      <c r="D765" s="223"/>
      <c r="E765" s="54"/>
      <c r="F765" s="16">
        <f>11.3/14*100</f>
        <v>80.714285714285722</v>
      </c>
      <c r="G765" s="8">
        <f>1.3/14*100</f>
        <v>9.2857142857142865</v>
      </c>
      <c r="H765" s="8">
        <v>0</v>
      </c>
      <c r="I765" s="8">
        <v>0</v>
      </c>
      <c r="J765" s="8">
        <f>0.4/14*100</f>
        <v>2.8571428571428572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>
        <v>0</v>
      </c>
      <c r="S765" s="17">
        <v>0</v>
      </c>
      <c r="T765" s="8">
        <f>1/14*100</f>
        <v>7.1428571428571423</v>
      </c>
      <c r="U765" s="8">
        <v>0</v>
      </c>
      <c r="V765" s="8">
        <v>0</v>
      </c>
      <c r="W765" s="8">
        <v>0</v>
      </c>
      <c r="X765" s="8">
        <v>0</v>
      </c>
      <c r="Y765" s="8">
        <v>0</v>
      </c>
      <c r="Z765" s="8">
        <v>0</v>
      </c>
      <c r="AA765" s="8">
        <v>0</v>
      </c>
      <c r="AB765" s="8">
        <v>0</v>
      </c>
      <c r="AC765" s="8">
        <v>0</v>
      </c>
      <c r="AD765" s="14">
        <f t="shared" si="49"/>
        <v>100.00000000000001</v>
      </c>
      <c r="AE765" s="8">
        <v>0</v>
      </c>
      <c r="AF765" s="8">
        <f t="shared" si="50"/>
        <v>1.0714285714285714</v>
      </c>
      <c r="AG765" s="8">
        <v>0</v>
      </c>
      <c r="AH765" s="8">
        <v>0</v>
      </c>
      <c r="AI765" s="39" t="s">
        <v>1531</v>
      </c>
      <c r="AJ765" s="7">
        <v>72</v>
      </c>
      <c r="AK765" s="62"/>
      <c r="AL765" s="193">
        <f>96.3/100.6*100</f>
        <v>95.725646123260447</v>
      </c>
      <c r="AM765" s="192">
        <f>1/100.6*100</f>
        <v>0.99403578528827041</v>
      </c>
      <c r="AN765" s="192"/>
      <c r="AO765" s="192"/>
      <c r="AP765" s="192"/>
      <c r="AQ765" s="192">
        <f>3.3/100.6*100</f>
        <v>3.2803180914512926</v>
      </c>
      <c r="AR765" s="85"/>
      <c r="AS765" s="85"/>
      <c r="AT765" s="205"/>
      <c r="AU765" s="85">
        <v>1</v>
      </c>
      <c r="AV765" s="196">
        <f>SUM(AL765:AT765)</f>
        <v>100.00000000000001</v>
      </c>
      <c r="AW765" s="85"/>
      <c r="AX765" s="85"/>
      <c r="AY765" s="39"/>
      <c r="AZ765" s="7"/>
      <c r="BA765" s="62"/>
      <c r="BB765" s="7">
        <v>2</v>
      </c>
      <c r="BC765" s="75">
        <v>9.9</v>
      </c>
      <c r="BD765" s="75">
        <v>256</v>
      </c>
      <c r="BE765" s="75">
        <v>15.4</v>
      </c>
      <c r="BF765" s="39"/>
      <c r="BG765" s="7"/>
      <c r="BH765" s="62"/>
      <c r="BI765" s="7"/>
      <c r="BJ765" s="32"/>
      <c r="BK765" s="256"/>
    </row>
    <row r="766" spans="1:63" s="6" customFormat="1" ht="23.25" customHeight="1" thickBot="1" x14ac:dyDescent="0.25">
      <c r="A766" s="62">
        <v>765</v>
      </c>
      <c r="B766" s="222"/>
      <c r="C766" s="222"/>
      <c r="D766" s="224"/>
      <c r="E766" s="13"/>
      <c r="F766" s="80">
        <f>11.3/14*100</f>
        <v>80.714285714285722</v>
      </c>
      <c r="G766" s="81">
        <f>1.3/14*100</f>
        <v>9.2857142857142865</v>
      </c>
      <c r="H766" s="81">
        <v>0</v>
      </c>
      <c r="I766" s="81">
        <v>0</v>
      </c>
      <c r="J766" s="81">
        <f>0.4/14*100</f>
        <v>2.8571428571428572</v>
      </c>
      <c r="K766" s="81">
        <v>0</v>
      </c>
      <c r="L766" s="81">
        <v>0</v>
      </c>
      <c r="M766" s="81">
        <v>0</v>
      </c>
      <c r="N766" s="81">
        <v>0</v>
      </c>
      <c r="O766" s="81">
        <v>0</v>
      </c>
      <c r="P766" s="81">
        <v>0</v>
      </c>
      <c r="Q766" s="81">
        <v>0</v>
      </c>
      <c r="R766" s="81">
        <v>0</v>
      </c>
      <c r="S766" s="82">
        <v>0</v>
      </c>
      <c r="T766" s="81">
        <f>1/14*100</f>
        <v>7.1428571428571423</v>
      </c>
      <c r="U766" s="81">
        <v>0</v>
      </c>
      <c r="V766" s="81">
        <v>0</v>
      </c>
      <c r="W766" s="81">
        <v>0</v>
      </c>
      <c r="X766" s="81">
        <v>0</v>
      </c>
      <c r="Y766" s="81">
        <v>0</v>
      </c>
      <c r="Z766" s="81">
        <v>0</v>
      </c>
      <c r="AA766" s="81">
        <v>0</v>
      </c>
      <c r="AB766" s="81">
        <v>0</v>
      </c>
      <c r="AC766" s="81">
        <v>0</v>
      </c>
      <c r="AD766" s="83">
        <f t="shared" si="49"/>
        <v>100.00000000000001</v>
      </c>
      <c r="AE766" s="81">
        <v>0</v>
      </c>
      <c r="AF766" s="81">
        <f t="shared" si="50"/>
        <v>1.0714285714285714</v>
      </c>
      <c r="AG766" s="81">
        <v>0</v>
      </c>
      <c r="AH766" s="81">
        <v>0</v>
      </c>
      <c r="AI766" s="79" t="s">
        <v>1531</v>
      </c>
      <c r="AJ766" s="65">
        <v>168</v>
      </c>
      <c r="AK766" s="78"/>
      <c r="AL766" s="213">
        <f>99.8/101*100</f>
        <v>98.811881188118804</v>
      </c>
      <c r="AM766" s="214">
        <f>0.7/101*100</f>
        <v>0.69306930693069302</v>
      </c>
      <c r="AN766" s="214"/>
      <c r="AO766" s="214"/>
      <c r="AP766" s="214"/>
      <c r="AQ766" s="214">
        <f>0.5/101*100</f>
        <v>0.49504950495049505</v>
      </c>
      <c r="AR766" s="190"/>
      <c r="AS766" s="190"/>
      <c r="AT766" s="201"/>
      <c r="AU766" s="190">
        <v>1</v>
      </c>
      <c r="AV766" s="202">
        <f>SUM(AL766:AT766)</f>
        <v>100</v>
      </c>
      <c r="AW766" s="190"/>
      <c r="AX766" s="190"/>
      <c r="AY766" s="79"/>
      <c r="AZ766" s="65"/>
      <c r="BA766" s="78"/>
      <c r="BB766" s="65">
        <v>2</v>
      </c>
      <c r="BC766" s="188">
        <v>8.8000000000000007</v>
      </c>
      <c r="BD766" s="188">
        <v>259.10000000000002</v>
      </c>
      <c r="BE766" s="188">
        <v>17.3</v>
      </c>
      <c r="BF766" s="79"/>
      <c r="BG766" s="65"/>
      <c r="BH766" s="78"/>
      <c r="BI766" s="65"/>
      <c r="BJ766" s="68"/>
      <c r="BK766" s="256"/>
    </row>
    <row r="767" spans="1:63" ht="23.25" customHeight="1" thickBot="1" x14ac:dyDescent="0.25">
      <c r="A767" s="7">
        <v>766</v>
      </c>
      <c r="B767" s="238">
        <v>193</v>
      </c>
      <c r="C767" s="238" t="s">
        <v>1841</v>
      </c>
      <c r="D767" s="225" t="s">
        <v>494</v>
      </c>
      <c r="E767" s="54" t="s">
        <v>241</v>
      </c>
      <c r="F767" s="16">
        <v>74.285714285714292</v>
      </c>
      <c r="G767" s="8">
        <v>18.571428571428573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17">
        <v>0</v>
      </c>
      <c r="T767" s="8">
        <v>7.1428571428571423</v>
      </c>
      <c r="U767" s="8">
        <v>0</v>
      </c>
      <c r="V767" s="8">
        <v>0</v>
      </c>
      <c r="W767" s="8">
        <v>0</v>
      </c>
      <c r="X767" s="8">
        <v>0</v>
      </c>
      <c r="Y767" s="8">
        <v>0</v>
      </c>
      <c r="Z767" s="8">
        <v>0</v>
      </c>
      <c r="AA767" s="8">
        <v>0</v>
      </c>
      <c r="AB767" s="8">
        <v>0</v>
      </c>
      <c r="AC767" s="8">
        <v>0</v>
      </c>
      <c r="AD767" s="14">
        <f t="shared" si="49"/>
        <v>100</v>
      </c>
      <c r="AE767" s="8">
        <v>0</v>
      </c>
      <c r="AF767" s="8">
        <v>0</v>
      </c>
      <c r="AG767" s="8">
        <v>0</v>
      </c>
      <c r="AH767" s="8">
        <v>0</v>
      </c>
      <c r="AI767" s="39" t="s">
        <v>1531</v>
      </c>
      <c r="AJ767" s="7">
        <v>12</v>
      </c>
      <c r="AK767" s="62">
        <v>1350</v>
      </c>
      <c r="AL767" s="158"/>
      <c r="AM767" s="85"/>
      <c r="AN767" s="85"/>
      <c r="AO767" s="85"/>
      <c r="AP767" s="85"/>
      <c r="AQ767" s="85"/>
      <c r="AR767" s="85"/>
      <c r="AS767" s="85"/>
      <c r="AT767" s="205"/>
      <c r="AU767" s="85"/>
      <c r="AV767" s="196"/>
      <c r="AW767" s="85">
        <v>11.439</v>
      </c>
      <c r="AX767" s="85"/>
      <c r="AY767" s="39"/>
      <c r="AZ767" s="7">
        <v>239</v>
      </c>
      <c r="BA767" s="62"/>
      <c r="BB767" s="7"/>
      <c r="BC767" s="75"/>
      <c r="BD767" s="75"/>
      <c r="BE767" s="75"/>
      <c r="BF767" s="39"/>
      <c r="BG767" s="7"/>
      <c r="BH767" s="62"/>
      <c r="BI767" s="7"/>
      <c r="BJ767" s="32"/>
      <c r="BK767" s="256"/>
    </row>
    <row r="768" spans="1:63" ht="23.25" customHeight="1" thickBot="1" x14ac:dyDescent="0.25">
      <c r="A768" s="62">
        <v>767</v>
      </c>
      <c r="B768" s="221"/>
      <c r="C768" s="221"/>
      <c r="D768" s="223"/>
      <c r="E768" s="54" t="s">
        <v>248</v>
      </c>
      <c r="F768" s="16">
        <v>74.285714285714292</v>
      </c>
      <c r="G768" s="8">
        <v>18.571428571428573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17">
        <v>0</v>
      </c>
      <c r="T768" s="8">
        <v>6.4285714285714297</v>
      </c>
      <c r="U768" s="8">
        <v>0</v>
      </c>
      <c r="V768" s="8">
        <v>0.7142857142857143</v>
      </c>
      <c r="W768" s="8">
        <v>0</v>
      </c>
      <c r="X768" s="8">
        <v>0</v>
      </c>
      <c r="Y768" s="8">
        <v>0</v>
      </c>
      <c r="Z768" s="8">
        <v>0</v>
      </c>
      <c r="AA768" s="8">
        <v>0</v>
      </c>
      <c r="AB768" s="8">
        <v>0</v>
      </c>
      <c r="AC768" s="8">
        <v>0</v>
      </c>
      <c r="AD768" s="14">
        <f t="shared" si="49"/>
        <v>100</v>
      </c>
      <c r="AE768" s="8">
        <v>0</v>
      </c>
      <c r="AF768" s="8">
        <v>0</v>
      </c>
      <c r="AG768" s="8">
        <v>0</v>
      </c>
      <c r="AH768" s="8">
        <v>0</v>
      </c>
      <c r="AI768" s="39" t="s">
        <v>1531</v>
      </c>
      <c r="AJ768" s="7">
        <v>12</v>
      </c>
      <c r="AK768" s="62">
        <v>1350</v>
      </c>
      <c r="AL768" s="158"/>
      <c r="AM768" s="85"/>
      <c r="AN768" s="85"/>
      <c r="AO768" s="85"/>
      <c r="AP768" s="85"/>
      <c r="AQ768" s="85"/>
      <c r="AR768" s="85"/>
      <c r="AS768" s="85"/>
      <c r="AT768" s="205"/>
      <c r="AU768" s="85"/>
      <c r="AV768" s="196"/>
      <c r="AW768" s="85">
        <v>11.425000000000001</v>
      </c>
      <c r="AX768" s="85"/>
      <c r="AY768" s="39"/>
      <c r="AZ768" s="7">
        <v>236</v>
      </c>
      <c r="BA768" s="62"/>
      <c r="BB768" s="7"/>
      <c r="BC768" s="75"/>
      <c r="BD768" s="75"/>
      <c r="BE768" s="75"/>
      <c r="BF768" s="39"/>
      <c r="BG768" s="7"/>
      <c r="BH768" s="62"/>
      <c r="BI768" s="7"/>
      <c r="BJ768" s="32"/>
      <c r="BK768" s="256"/>
    </row>
    <row r="769" spans="1:63" ht="23.25" customHeight="1" thickBot="1" x14ac:dyDescent="0.25">
      <c r="A769" s="7">
        <v>768</v>
      </c>
      <c r="B769" s="221"/>
      <c r="C769" s="221"/>
      <c r="D769" s="223"/>
      <c r="E769" s="54" t="s">
        <v>249</v>
      </c>
      <c r="F769" s="16">
        <v>74.285714285714292</v>
      </c>
      <c r="G769" s="8">
        <v>18.571428571428573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>
        <v>0</v>
      </c>
      <c r="S769" s="17">
        <v>0</v>
      </c>
      <c r="T769" s="8">
        <v>5.7142857142857144</v>
      </c>
      <c r="U769" s="8">
        <v>0</v>
      </c>
      <c r="V769" s="8">
        <v>1.4285714285714286</v>
      </c>
      <c r="W769" s="8">
        <v>0</v>
      </c>
      <c r="X769" s="8">
        <v>0</v>
      </c>
      <c r="Y769" s="8">
        <v>0</v>
      </c>
      <c r="Z769" s="8">
        <v>0</v>
      </c>
      <c r="AA769" s="8">
        <v>0</v>
      </c>
      <c r="AB769" s="8">
        <v>0</v>
      </c>
      <c r="AC769" s="8">
        <v>0</v>
      </c>
      <c r="AD769" s="14">
        <f t="shared" si="49"/>
        <v>100</v>
      </c>
      <c r="AE769" s="8">
        <v>0</v>
      </c>
      <c r="AF769" s="8">
        <v>0</v>
      </c>
      <c r="AG769" s="8">
        <v>0</v>
      </c>
      <c r="AH769" s="8">
        <v>0</v>
      </c>
      <c r="AI769" s="39" t="s">
        <v>1531</v>
      </c>
      <c r="AJ769" s="7">
        <v>12</v>
      </c>
      <c r="AK769" s="62">
        <v>1350</v>
      </c>
      <c r="AL769" s="158"/>
      <c r="AM769" s="85"/>
      <c r="AN769" s="85"/>
      <c r="AO769" s="85"/>
      <c r="AP769" s="85"/>
      <c r="AQ769" s="85"/>
      <c r="AR769" s="85"/>
      <c r="AS769" s="85"/>
      <c r="AT769" s="205"/>
      <c r="AU769" s="85"/>
      <c r="AV769" s="196"/>
      <c r="AW769" s="85">
        <v>11.417999999999999</v>
      </c>
      <c r="AX769" s="85"/>
      <c r="AY769" s="39"/>
      <c r="AZ769" s="7">
        <v>231</v>
      </c>
      <c r="BA769" s="62"/>
      <c r="BB769" s="7"/>
      <c r="BC769" s="75"/>
      <c r="BD769" s="75"/>
      <c r="BE769" s="75"/>
      <c r="BF769" s="39"/>
      <c r="BG769" s="7"/>
      <c r="BH769" s="62"/>
      <c r="BI769" s="7"/>
      <c r="BJ769" s="32"/>
      <c r="BK769" s="256"/>
    </row>
    <row r="770" spans="1:63" ht="23.25" customHeight="1" thickBot="1" x14ac:dyDescent="0.25">
      <c r="A770" s="62">
        <v>769</v>
      </c>
      <c r="B770" s="221"/>
      <c r="C770" s="221"/>
      <c r="D770" s="223"/>
      <c r="E770" s="54" t="s">
        <v>242</v>
      </c>
      <c r="F770" s="16">
        <v>74.285714285714292</v>
      </c>
      <c r="G770" s="8">
        <v>18.571428571428573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17">
        <v>0</v>
      </c>
      <c r="T770" s="8">
        <v>5</v>
      </c>
      <c r="U770" s="8">
        <v>0</v>
      </c>
      <c r="V770" s="8">
        <v>2.1428571428571428</v>
      </c>
      <c r="W770" s="8">
        <v>0</v>
      </c>
      <c r="X770" s="8">
        <v>0</v>
      </c>
      <c r="Y770" s="8">
        <v>0</v>
      </c>
      <c r="Z770" s="8">
        <v>0</v>
      </c>
      <c r="AA770" s="8">
        <v>0</v>
      </c>
      <c r="AB770" s="8">
        <v>0</v>
      </c>
      <c r="AC770" s="8">
        <v>0</v>
      </c>
      <c r="AD770" s="14">
        <f t="shared" si="49"/>
        <v>100</v>
      </c>
      <c r="AE770" s="8">
        <v>0</v>
      </c>
      <c r="AF770" s="8">
        <v>0</v>
      </c>
      <c r="AG770" s="8">
        <v>0</v>
      </c>
      <c r="AH770" s="8">
        <v>0</v>
      </c>
      <c r="AI770" s="39" t="s">
        <v>1531</v>
      </c>
      <c r="AJ770" s="7">
        <v>12</v>
      </c>
      <c r="AK770" s="62">
        <v>1350</v>
      </c>
      <c r="AL770" s="158"/>
      <c r="AM770" s="85"/>
      <c r="AN770" s="85"/>
      <c r="AO770" s="85"/>
      <c r="AP770" s="85"/>
      <c r="AQ770" s="85"/>
      <c r="AR770" s="85"/>
      <c r="AS770" s="85"/>
      <c r="AT770" s="205"/>
      <c r="AU770" s="85"/>
      <c r="AV770" s="196"/>
      <c r="AW770" s="85">
        <v>11.407</v>
      </c>
      <c r="AX770" s="85"/>
      <c r="AY770" s="39"/>
      <c r="AZ770" s="7">
        <v>230</v>
      </c>
      <c r="BA770" s="62"/>
      <c r="BB770" s="7"/>
      <c r="BC770" s="75"/>
      <c r="BD770" s="75"/>
      <c r="BE770" s="75"/>
      <c r="BF770" s="39"/>
      <c r="BG770" s="7"/>
      <c r="BH770" s="62"/>
      <c r="BI770" s="7"/>
      <c r="BJ770" s="32"/>
      <c r="BK770" s="256"/>
    </row>
    <row r="771" spans="1:63" ht="23.25" customHeight="1" thickBot="1" x14ac:dyDescent="0.25">
      <c r="A771" s="7">
        <v>770</v>
      </c>
      <c r="B771" s="221"/>
      <c r="C771" s="221"/>
      <c r="D771" s="223"/>
      <c r="E771" s="54" t="s">
        <v>243</v>
      </c>
      <c r="F771" s="16">
        <v>74.285714285714292</v>
      </c>
      <c r="G771" s="8">
        <v>18.571428571428573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17">
        <v>0</v>
      </c>
      <c r="T771" s="8">
        <v>4.2857142857142856</v>
      </c>
      <c r="U771" s="8">
        <v>0</v>
      </c>
      <c r="V771" s="8">
        <v>2.8571428571428572</v>
      </c>
      <c r="W771" s="8">
        <v>0</v>
      </c>
      <c r="X771" s="8">
        <v>0</v>
      </c>
      <c r="Y771" s="8">
        <v>0</v>
      </c>
      <c r="Z771" s="8">
        <v>0</v>
      </c>
      <c r="AA771" s="8">
        <v>0</v>
      </c>
      <c r="AB771" s="8">
        <v>0</v>
      </c>
      <c r="AC771" s="8">
        <v>0</v>
      </c>
      <c r="AD771" s="14">
        <f t="shared" si="49"/>
        <v>100.00000000000001</v>
      </c>
      <c r="AE771" s="8">
        <v>0</v>
      </c>
      <c r="AF771" s="8">
        <v>0</v>
      </c>
      <c r="AG771" s="8">
        <v>0</v>
      </c>
      <c r="AH771" s="8">
        <v>0</v>
      </c>
      <c r="AI771" s="39" t="s">
        <v>1531</v>
      </c>
      <c r="AJ771" s="7">
        <v>12</v>
      </c>
      <c r="AK771" s="62">
        <v>1350</v>
      </c>
      <c r="AL771" s="158"/>
      <c r="AM771" s="85"/>
      <c r="AN771" s="85"/>
      <c r="AO771" s="85"/>
      <c r="AP771" s="85"/>
      <c r="AQ771" s="85"/>
      <c r="AR771" s="85"/>
      <c r="AS771" s="85"/>
      <c r="AT771" s="205"/>
      <c r="AU771" s="85"/>
      <c r="AV771" s="196"/>
      <c r="AW771" s="85">
        <v>11.394</v>
      </c>
      <c r="AX771" s="85"/>
      <c r="AY771" s="39"/>
      <c r="AZ771" s="7">
        <v>226</v>
      </c>
      <c r="BA771" s="62"/>
      <c r="BB771" s="7"/>
      <c r="BC771" s="75"/>
      <c r="BD771" s="75"/>
      <c r="BE771" s="75"/>
      <c r="BF771" s="39"/>
      <c r="BG771" s="7"/>
      <c r="BH771" s="62"/>
      <c r="BI771" s="7"/>
      <c r="BJ771" s="32"/>
      <c r="BK771" s="256"/>
    </row>
    <row r="772" spans="1:63" ht="23.25" customHeight="1" thickBot="1" x14ac:dyDescent="0.25">
      <c r="A772" s="62">
        <v>771</v>
      </c>
      <c r="B772" s="221"/>
      <c r="C772" s="221"/>
      <c r="D772" s="223"/>
      <c r="E772" s="54" t="s">
        <v>244</v>
      </c>
      <c r="F772" s="16">
        <v>74.285714285714292</v>
      </c>
      <c r="G772" s="8">
        <v>18.571428571428573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17">
        <v>0</v>
      </c>
      <c r="T772" s="8">
        <v>3.5714285714285712</v>
      </c>
      <c r="U772" s="8">
        <v>0</v>
      </c>
      <c r="V772" s="8">
        <v>3.5714285714285712</v>
      </c>
      <c r="W772" s="8">
        <v>0</v>
      </c>
      <c r="X772" s="8">
        <v>0</v>
      </c>
      <c r="Y772" s="8">
        <v>0</v>
      </c>
      <c r="Z772" s="8">
        <v>0</v>
      </c>
      <c r="AA772" s="8">
        <v>0</v>
      </c>
      <c r="AB772" s="8">
        <v>0</v>
      </c>
      <c r="AC772" s="8">
        <v>0</v>
      </c>
      <c r="AD772" s="14">
        <f t="shared" si="49"/>
        <v>100</v>
      </c>
      <c r="AE772" s="8">
        <v>0</v>
      </c>
      <c r="AF772" s="8">
        <v>0</v>
      </c>
      <c r="AG772" s="8">
        <v>0</v>
      </c>
      <c r="AH772" s="8">
        <v>0</v>
      </c>
      <c r="AI772" s="39" t="s">
        <v>1531</v>
      </c>
      <c r="AJ772" s="7">
        <v>12</v>
      </c>
      <c r="AK772" s="62">
        <v>1350</v>
      </c>
      <c r="AL772" s="158"/>
      <c r="AM772" s="85"/>
      <c r="AN772" s="85"/>
      <c r="AO772" s="85"/>
      <c r="AP772" s="85"/>
      <c r="AQ772" s="85"/>
      <c r="AR772" s="85"/>
      <c r="AS772" s="85"/>
      <c r="AT772" s="205"/>
      <c r="AU772" s="85"/>
      <c r="AV772" s="196"/>
      <c r="AW772" s="85">
        <v>11.385999999999999</v>
      </c>
      <c r="AX772" s="85"/>
      <c r="AY772" s="39"/>
      <c r="AZ772" s="7">
        <v>224</v>
      </c>
      <c r="BA772" s="62"/>
      <c r="BB772" s="7"/>
      <c r="BC772" s="75"/>
      <c r="BD772" s="75"/>
      <c r="BE772" s="75"/>
      <c r="BF772" s="39"/>
      <c r="BG772" s="7"/>
      <c r="BH772" s="62"/>
      <c r="BI772" s="7"/>
      <c r="BJ772" s="32"/>
      <c r="BK772" s="256"/>
    </row>
    <row r="773" spans="1:63" ht="23.25" customHeight="1" thickBot="1" x14ac:dyDescent="0.25">
      <c r="A773" s="7">
        <v>772</v>
      </c>
      <c r="B773" s="221"/>
      <c r="C773" s="221"/>
      <c r="D773" s="223"/>
      <c r="E773" s="54" t="s">
        <v>245</v>
      </c>
      <c r="F773" s="16">
        <v>74.285714285714292</v>
      </c>
      <c r="G773" s="8">
        <v>18.571428571428573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17">
        <v>0</v>
      </c>
      <c r="T773" s="8">
        <v>2.8571428571428572</v>
      </c>
      <c r="U773" s="8">
        <v>0</v>
      </c>
      <c r="V773" s="8">
        <v>4.2857142857142856</v>
      </c>
      <c r="W773" s="8">
        <v>0</v>
      </c>
      <c r="X773" s="8">
        <v>0</v>
      </c>
      <c r="Y773" s="8">
        <v>0</v>
      </c>
      <c r="Z773" s="8">
        <v>0</v>
      </c>
      <c r="AA773" s="8">
        <v>0</v>
      </c>
      <c r="AB773" s="8">
        <v>0</v>
      </c>
      <c r="AC773" s="8">
        <v>0</v>
      </c>
      <c r="AD773" s="14">
        <f t="shared" si="49"/>
        <v>100.00000000000001</v>
      </c>
      <c r="AE773" s="8">
        <v>0</v>
      </c>
      <c r="AF773" s="8">
        <v>0</v>
      </c>
      <c r="AG773" s="8">
        <v>0</v>
      </c>
      <c r="AH773" s="8">
        <v>0</v>
      </c>
      <c r="AI773" s="39" t="s">
        <v>1531</v>
      </c>
      <c r="AJ773" s="7">
        <v>12</v>
      </c>
      <c r="AK773" s="62">
        <v>1350</v>
      </c>
      <c r="AL773" s="158"/>
      <c r="AM773" s="85"/>
      <c r="AN773" s="85"/>
      <c r="AO773" s="85"/>
      <c r="AP773" s="85"/>
      <c r="AQ773" s="85"/>
      <c r="AR773" s="85"/>
      <c r="AS773" s="85"/>
      <c r="AT773" s="205"/>
      <c r="AU773" s="85"/>
      <c r="AV773" s="196"/>
      <c r="AW773" s="85">
        <v>11.38</v>
      </c>
      <c r="AX773" s="85"/>
      <c r="AY773" s="39"/>
      <c r="AZ773" s="7">
        <v>221</v>
      </c>
      <c r="BA773" s="62"/>
      <c r="BB773" s="7"/>
      <c r="BC773" s="75"/>
      <c r="BD773" s="75"/>
      <c r="BE773" s="75"/>
      <c r="BF773" s="39"/>
      <c r="BG773" s="7"/>
      <c r="BH773" s="62"/>
      <c r="BI773" s="7"/>
      <c r="BJ773" s="32"/>
      <c r="BK773" s="256"/>
    </row>
    <row r="774" spans="1:63" ht="23.25" customHeight="1" thickBot="1" x14ac:dyDescent="0.25">
      <c r="A774" s="62">
        <v>773</v>
      </c>
      <c r="B774" s="221"/>
      <c r="C774" s="221"/>
      <c r="D774" s="223"/>
      <c r="E774" s="54" t="s">
        <v>280</v>
      </c>
      <c r="F774" s="16">
        <v>74.285714285714292</v>
      </c>
      <c r="G774" s="8">
        <v>18.571428571428573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17">
        <v>0</v>
      </c>
      <c r="T774" s="8">
        <v>2.1428571428571432</v>
      </c>
      <c r="U774" s="8">
        <v>0</v>
      </c>
      <c r="V774" s="8">
        <v>5</v>
      </c>
      <c r="W774" s="8">
        <v>0</v>
      </c>
      <c r="X774" s="8">
        <v>0</v>
      </c>
      <c r="Y774" s="8">
        <v>0</v>
      </c>
      <c r="Z774" s="8">
        <v>0</v>
      </c>
      <c r="AA774" s="8">
        <v>0</v>
      </c>
      <c r="AB774" s="8">
        <v>0</v>
      </c>
      <c r="AC774" s="8">
        <v>0</v>
      </c>
      <c r="AD774" s="14">
        <f t="shared" si="49"/>
        <v>100</v>
      </c>
      <c r="AE774" s="8">
        <v>0</v>
      </c>
      <c r="AF774" s="8">
        <v>0</v>
      </c>
      <c r="AG774" s="8">
        <v>0</v>
      </c>
      <c r="AH774" s="8">
        <v>0</v>
      </c>
      <c r="AI774" s="39" t="s">
        <v>1531</v>
      </c>
      <c r="AJ774" s="7">
        <v>12</v>
      </c>
      <c r="AK774" s="62">
        <v>1350</v>
      </c>
      <c r="AL774" s="158"/>
      <c r="AM774" s="85"/>
      <c r="AN774" s="85"/>
      <c r="AO774" s="85"/>
      <c r="AP774" s="85"/>
      <c r="AQ774" s="85"/>
      <c r="AR774" s="85"/>
      <c r="AS774" s="85"/>
      <c r="AT774" s="205"/>
      <c r="AU774" s="85"/>
      <c r="AV774" s="196"/>
      <c r="AW774" s="85">
        <v>11.364000000000001</v>
      </c>
      <c r="AX774" s="85"/>
      <c r="AY774" s="39"/>
      <c r="AZ774" s="7">
        <v>217</v>
      </c>
      <c r="BA774" s="62"/>
      <c r="BB774" s="7"/>
      <c r="BC774" s="75"/>
      <c r="BD774" s="75"/>
      <c r="BE774" s="75"/>
      <c r="BF774" s="39"/>
      <c r="BG774" s="7"/>
      <c r="BH774" s="62"/>
      <c r="BI774" s="7"/>
      <c r="BJ774" s="32"/>
      <c r="BK774" s="256"/>
    </row>
    <row r="775" spans="1:63" ht="23.25" customHeight="1" thickBot="1" x14ac:dyDescent="0.25">
      <c r="A775" s="7">
        <v>774</v>
      </c>
      <c r="B775" s="221"/>
      <c r="C775" s="221"/>
      <c r="D775" s="223"/>
      <c r="E775" s="54" t="s">
        <v>267</v>
      </c>
      <c r="F775" s="16">
        <v>74.285714285714292</v>
      </c>
      <c r="G775" s="8">
        <v>18.571428571428573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17">
        <v>0</v>
      </c>
      <c r="T775" s="8">
        <v>1.4285714285714282</v>
      </c>
      <c r="U775" s="8">
        <v>0</v>
      </c>
      <c r="V775" s="8">
        <v>5.7142857142857144</v>
      </c>
      <c r="W775" s="8">
        <v>0</v>
      </c>
      <c r="X775" s="8">
        <v>0</v>
      </c>
      <c r="Y775" s="8">
        <v>0</v>
      </c>
      <c r="Z775" s="8">
        <v>0</v>
      </c>
      <c r="AA775" s="8">
        <v>0</v>
      </c>
      <c r="AB775" s="8">
        <v>0</v>
      </c>
      <c r="AC775" s="8">
        <v>0</v>
      </c>
      <c r="AD775" s="14">
        <f t="shared" si="49"/>
        <v>100</v>
      </c>
      <c r="AE775" s="8">
        <v>0</v>
      </c>
      <c r="AF775" s="8">
        <v>0</v>
      </c>
      <c r="AG775" s="8">
        <v>0</v>
      </c>
      <c r="AH775" s="8">
        <v>0</v>
      </c>
      <c r="AI775" s="39" t="s">
        <v>1531</v>
      </c>
      <c r="AJ775" s="7">
        <v>12</v>
      </c>
      <c r="AK775" s="62">
        <v>1350</v>
      </c>
      <c r="AL775" s="158"/>
      <c r="AM775" s="85"/>
      <c r="AN775" s="85"/>
      <c r="AO775" s="85"/>
      <c r="AP775" s="85"/>
      <c r="AQ775" s="85"/>
      <c r="AR775" s="85"/>
      <c r="AS775" s="85"/>
      <c r="AT775" s="205"/>
      <c r="AU775" s="85"/>
      <c r="AV775" s="196"/>
      <c r="AW775" s="85">
        <v>11.35</v>
      </c>
      <c r="AX775" s="85"/>
      <c r="AY775" s="39"/>
      <c r="AZ775" s="7">
        <v>215</v>
      </c>
      <c r="BA775" s="62"/>
      <c r="BB775" s="7"/>
      <c r="BC775" s="75"/>
      <c r="BD775" s="75"/>
      <c r="BE775" s="75"/>
      <c r="BF775" s="39"/>
      <c r="BG775" s="7"/>
      <c r="BH775" s="62"/>
      <c r="BI775" s="7"/>
      <c r="BJ775" s="32"/>
      <c r="BK775" s="256"/>
    </row>
    <row r="776" spans="1:63" ht="23.25" customHeight="1" thickBot="1" x14ac:dyDescent="0.25">
      <c r="A776" s="62">
        <v>775</v>
      </c>
      <c r="B776" s="221"/>
      <c r="C776" s="221"/>
      <c r="D776" s="223"/>
      <c r="E776" s="54" t="s">
        <v>376</v>
      </c>
      <c r="F776" s="16">
        <v>74.285714285714292</v>
      </c>
      <c r="G776" s="8">
        <v>18.571428571428573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17">
        <v>0</v>
      </c>
      <c r="T776" s="8">
        <v>0.71428571428571408</v>
      </c>
      <c r="U776" s="8">
        <v>0</v>
      </c>
      <c r="V776" s="8">
        <v>6.4285714285714297</v>
      </c>
      <c r="W776" s="8">
        <v>0</v>
      </c>
      <c r="X776" s="8">
        <v>0</v>
      </c>
      <c r="Y776" s="8">
        <v>0</v>
      </c>
      <c r="Z776" s="8">
        <v>0</v>
      </c>
      <c r="AA776" s="8">
        <v>0</v>
      </c>
      <c r="AB776" s="8">
        <v>0</v>
      </c>
      <c r="AC776" s="8">
        <v>0</v>
      </c>
      <c r="AD776" s="14">
        <f t="shared" si="49"/>
        <v>100</v>
      </c>
      <c r="AE776" s="8">
        <v>0</v>
      </c>
      <c r="AF776" s="8">
        <v>0</v>
      </c>
      <c r="AG776" s="8">
        <v>0</v>
      </c>
      <c r="AH776" s="8">
        <v>0</v>
      </c>
      <c r="AI776" s="39" t="s">
        <v>1531</v>
      </c>
      <c r="AJ776" s="7">
        <v>12</v>
      </c>
      <c r="AK776" s="62">
        <v>1350</v>
      </c>
      <c r="AL776" s="158"/>
      <c r="AM776" s="85"/>
      <c r="AN776" s="85"/>
      <c r="AO776" s="85"/>
      <c r="AP776" s="85"/>
      <c r="AQ776" s="85"/>
      <c r="AR776" s="85"/>
      <c r="AS776" s="85"/>
      <c r="AT776" s="205"/>
      <c r="AU776" s="85"/>
      <c r="AV776" s="196"/>
      <c r="AW776" s="85">
        <v>11.342000000000001</v>
      </c>
      <c r="AX776" s="85"/>
      <c r="AY776" s="39"/>
      <c r="AZ776" s="7">
        <v>212</v>
      </c>
      <c r="BA776" s="62"/>
      <c r="BB776" s="7"/>
      <c r="BC776" s="75"/>
      <c r="BD776" s="75"/>
      <c r="BE776" s="75"/>
      <c r="BF776" s="39"/>
      <c r="BG776" s="7"/>
      <c r="BH776" s="62"/>
      <c r="BI776" s="7"/>
      <c r="BJ776" s="32"/>
      <c r="BK776" s="256"/>
    </row>
    <row r="777" spans="1:63" ht="23.25" customHeight="1" thickBot="1" x14ac:dyDescent="0.25">
      <c r="A777" s="7">
        <v>776</v>
      </c>
      <c r="B777" s="222"/>
      <c r="C777" s="222"/>
      <c r="D777" s="224"/>
      <c r="E777" s="54" t="s">
        <v>272</v>
      </c>
      <c r="F777" s="16">
        <v>74.285714285714292</v>
      </c>
      <c r="G777" s="8">
        <v>18.571428571428573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17">
        <v>0</v>
      </c>
      <c r="T777" s="8">
        <v>0</v>
      </c>
      <c r="U777" s="8">
        <v>0</v>
      </c>
      <c r="V777" s="8">
        <v>7.1428571428571423</v>
      </c>
      <c r="W777" s="8">
        <v>0</v>
      </c>
      <c r="X777" s="8">
        <v>0</v>
      </c>
      <c r="Y777" s="8">
        <v>0</v>
      </c>
      <c r="Z777" s="8">
        <v>0</v>
      </c>
      <c r="AA777" s="8">
        <v>0</v>
      </c>
      <c r="AB777" s="8">
        <v>0</v>
      </c>
      <c r="AC777" s="8">
        <v>0</v>
      </c>
      <c r="AD777" s="14">
        <f t="shared" si="49"/>
        <v>100</v>
      </c>
      <c r="AE777" s="8">
        <v>0</v>
      </c>
      <c r="AF777" s="8">
        <v>0</v>
      </c>
      <c r="AG777" s="8">
        <v>0</v>
      </c>
      <c r="AH777" s="8">
        <v>0</v>
      </c>
      <c r="AI777" s="39" t="s">
        <v>1531</v>
      </c>
      <c r="AJ777" s="7">
        <v>12</v>
      </c>
      <c r="AK777" s="62">
        <v>1350</v>
      </c>
      <c r="AL777" s="158"/>
      <c r="AM777" s="85"/>
      <c r="AN777" s="85"/>
      <c r="AO777" s="85"/>
      <c r="AP777" s="85"/>
      <c r="AQ777" s="85"/>
      <c r="AR777" s="85"/>
      <c r="AS777" s="85"/>
      <c r="AT777" s="205"/>
      <c r="AU777" s="85"/>
      <c r="AV777" s="196"/>
      <c r="AW777" s="85">
        <v>11.333</v>
      </c>
      <c r="AX777" s="85"/>
      <c r="AY777" s="39"/>
      <c r="AZ777" s="7">
        <v>209</v>
      </c>
      <c r="BA777" s="62"/>
      <c r="BB777" s="7"/>
      <c r="BC777" s="75"/>
      <c r="BD777" s="75"/>
      <c r="BE777" s="75"/>
      <c r="BF777" s="39"/>
      <c r="BG777" s="7"/>
      <c r="BH777" s="62"/>
      <c r="BI777" s="7"/>
      <c r="BJ777" s="32"/>
      <c r="BK777" s="256"/>
    </row>
    <row r="778" spans="1:63" s="4" customFormat="1" ht="23.25" customHeight="1" thickBot="1" x14ac:dyDescent="0.25">
      <c r="A778" s="62">
        <v>777</v>
      </c>
      <c r="B778" s="238">
        <v>201</v>
      </c>
      <c r="C778" s="238" t="s">
        <v>1840</v>
      </c>
      <c r="D778" s="225" t="s">
        <v>17</v>
      </c>
      <c r="E778" s="12"/>
      <c r="F778" s="87">
        <v>82.857142857142847</v>
      </c>
      <c r="G778" s="88">
        <v>10</v>
      </c>
      <c r="H778" s="88">
        <v>0</v>
      </c>
      <c r="I778" s="88">
        <v>0</v>
      </c>
      <c r="J778" s="88">
        <v>0</v>
      </c>
      <c r="K778" s="88">
        <v>0</v>
      </c>
      <c r="L778" s="88">
        <v>0</v>
      </c>
      <c r="M778" s="88">
        <v>0</v>
      </c>
      <c r="N778" s="88">
        <v>0</v>
      </c>
      <c r="O778" s="88">
        <v>0</v>
      </c>
      <c r="P778" s="88">
        <v>0</v>
      </c>
      <c r="Q778" s="88">
        <v>0</v>
      </c>
      <c r="R778" s="88">
        <v>0</v>
      </c>
      <c r="S778" s="89">
        <v>0</v>
      </c>
      <c r="T778" s="88">
        <v>7.1428571428571423</v>
      </c>
      <c r="U778" s="88">
        <v>0</v>
      </c>
      <c r="V778" s="88">
        <v>0</v>
      </c>
      <c r="W778" s="88">
        <v>0</v>
      </c>
      <c r="X778" s="88">
        <v>0</v>
      </c>
      <c r="Y778" s="88">
        <v>0</v>
      </c>
      <c r="Z778" s="88">
        <v>0</v>
      </c>
      <c r="AA778" s="88">
        <v>0</v>
      </c>
      <c r="AB778" s="88">
        <v>0</v>
      </c>
      <c r="AC778" s="88">
        <v>0</v>
      </c>
      <c r="AD778" s="90">
        <f t="shared" si="49"/>
        <v>99.999999999999986</v>
      </c>
      <c r="AE778" s="88">
        <v>0</v>
      </c>
      <c r="AF778" s="88">
        <v>0</v>
      </c>
      <c r="AG778" s="88">
        <v>0</v>
      </c>
      <c r="AH778" s="88">
        <v>0</v>
      </c>
      <c r="AI778" s="156" t="s">
        <v>1531</v>
      </c>
      <c r="AJ778" s="45">
        <v>1</v>
      </c>
      <c r="AK778" s="91">
        <v>1373</v>
      </c>
      <c r="AL778" s="197">
        <v>76.099999999999994</v>
      </c>
      <c r="AM778" s="189">
        <v>17.600000000000001</v>
      </c>
      <c r="AN778" s="189">
        <v>6.3</v>
      </c>
      <c r="AO778" s="189"/>
      <c r="AP778" s="189"/>
      <c r="AQ778" s="189"/>
      <c r="AR778" s="189"/>
      <c r="AS778" s="189"/>
      <c r="AT778" s="198"/>
      <c r="AU778" s="189">
        <v>1</v>
      </c>
      <c r="AV778" s="199">
        <f t="shared" ref="AV778:AV789" si="51">SUM(AL778:AT778)</f>
        <v>99.999999999999986</v>
      </c>
      <c r="AW778" s="189"/>
      <c r="AX778" s="189"/>
      <c r="AY778" s="156">
        <v>0.05</v>
      </c>
      <c r="AZ778" s="45">
        <v>187.6</v>
      </c>
      <c r="BA778" s="91"/>
      <c r="BB778" s="45" t="s">
        <v>814</v>
      </c>
      <c r="BC778" s="187" t="s">
        <v>1115</v>
      </c>
      <c r="BD778" s="187" t="s">
        <v>1117</v>
      </c>
      <c r="BE778" s="187" t="s">
        <v>1119</v>
      </c>
      <c r="BF778" s="156"/>
      <c r="BG778" s="45"/>
      <c r="BH778" s="91"/>
      <c r="BI778" s="45"/>
      <c r="BJ778" s="67"/>
      <c r="BK778" s="256"/>
    </row>
    <row r="779" spans="1:63" s="6" customFormat="1" ht="23.25" customHeight="1" thickBot="1" x14ac:dyDescent="0.25">
      <c r="A779" s="7">
        <v>778</v>
      </c>
      <c r="B779" s="222"/>
      <c r="C779" s="222"/>
      <c r="D779" s="224"/>
      <c r="E779" s="13"/>
      <c r="F779" s="80">
        <v>82.857142857142847</v>
      </c>
      <c r="G779" s="81">
        <v>10</v>
      </c>
      <c r="H779" s="81">
        <v>0</v>
      </c>
      <c r="I779" s="81">
        <v>0</v>
      </c>
      <c r="J779" s="81">
        <v>0</v>
      </c>
      <c r="K779" s="81">
        <v>0</v>
      </c>
      <c r="L779" s="81">
        <v>0</v>
      </c>
      <c r="M779" s="81">
        <v>0</v>
      </c>
      <c r="N779" s="81">
        <v>0</v>
      </c>
      <c r="O779" s="81">
        <v>0</v>
      </c>
      <c r="P779" s="81">
        <v>0</v>
      </c>
      <c r="Q779" s="81">
        <v>0</v>
      </c>
      <c r="R779" s="81">
        <v>0</v>
      </c>
      <c r="S779" s="82">
        <v>0</v>
      </c>
      <c r="T779" s="81">
        <v>7.1428571428571423</v>
      </c>
      <c r="U779" s="81">
        <v>0</v>
      </c>
      <c r="V779" s="81">
        <v>0</v>
      </c>
      <c r="W779" s="81">
        <v>0</v>
      </c>
      <c r="X779" s="81">
        <v>0</v>
      </c>
      <c r="Y779" s="81">
        <v>0</v>
      </c>
      <c r="Z779" s="81">
        <v>0</v>
      </c>
      <c r="AA779" s="81">
        <v>0</v>
      </c>
      <c r="AB779" s="81">
        <v>0</v>
      </c>
      <c r="AC779" s="81">
        <v>0</v>
      </c>
      <c r="AD779" s="83">
        <f t="shared" si="49"/>
        <v>99.999999999999986</v>
      </c>
      <c r="AE779" s="81">
        <v>0</v>
      </c>
      <c r="AF779" s="81">
        <v>0</v>
      </c>
      <c r="AG779" s="81">
        <v>0</v>
      </c>
      <c r="AH779" s="81">
        <v>0</v>
      </c>
      <c r="AI779" s="79" t="s">
        <v>1531</v>
      </c>
      <c r="AJ779" s="65">
        <v>3</v>
      </c>
      <c r="AK779" s="78">
        <v>1373</v>
      </c>
      <c r="AL779" s="200">
        <v>89.8</v>
      </c>
      <c r="AM779" s="190">
        <v>6.4</v>
      </c>
      <c r="AN779" s="190">
        <v>3.8</v>
      </c>
      <c r="AO779" s="190"/>
      <c r="AP779" s="190"/>
      <c r="AQ779" s="190"/>
      <c r="AR779" s="190"/>
      <c r="AS779" s="190"/>
      <c r="AT779" s="201"/>
      <c r="AU779" s="190">
        <v>1</v>
      </c>
      <c r="AV779" s="202">
        <f t="shared" si="51"/>
        <v>100</v>
      </c>
      <c r="AW779" s="190"/>
      <c r="AX779" s="190"/>
      <c r="AY779" s="79">
        <v>0.05</v>
      </c>
      <c r="AZ779" s="65">
        <v>188.8</v>
      </c>
      <c r="BA779" s="78"/>
      <c r="BB779" s="65" t="s">
        <v>814</v>
      </c>
      <c r="BC779" s="188" t="s">
        <v>1116</v>
      </c>
      <c r="BD779" s="188" t="s">
        <v>1118</v>
      </c>
      <c r="BE779" s="188" t="s">
        <v>1120</v>
      </c>
      <c r="BF779" s="79"/>
      <c r="BG779" s="65"/>
      <c r="BH779" s="78"/>
      <c r="BI779" s="65"/>
      <c r="BJ779" s="68"/>
      <c r="BK779" s="256"/>
    </row>
    <row r="780" spans="1:63" ht="23.25" customHeight="1" thickBot="1" x14ac:dyDescent="0.25">
      <c r="A780" s="62">
        <v>779</v>
      </c>
      <c r="B780" s="238">
        <v>625</v>
      </c>
      <c r="C780" s="238" t="s">
        <v>1839</v>
      </c>
      <c r="D780" s="225" t="s">
        <v>491</v>
      </c>
      <c r="E780" s="54" t="s">
        <v>443</v>
      </c>
      <c r="F780" s="16">
        <f>(13-0.8)/14*100</f>
        <v>87.142857142857139</v>
      </c>
      <c r="G780" s="8">
        <f>0.8/14*100</f>
        <v>5.7142857142857144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17">
        <v>0</v>
      </c>
      <c r="T780" s="8">
        <f t="shared" ref="T780:T791" si="52">1/14*100</f>
        <v>7.1428571428571423</v>
      </c>
      <c r="U780" s="8">
        <v>0</v>
      </c>
      <c r="V780" s="8">
        <v>0</v>
      </c>
      <c r="W780" s="8">
        <v>0</v>
      </c>
      <c r="X780" s="8">
        <v>0</v>
      </c>
      <c r="Y780" s="8">
        <v>0</v>
      </c>
      <c r="Z780" s="8">
        <v>0</v>
      </c>
      <c r="AA780" s="8">
        <v>0</v>
      </c>
      <c r="AB780" s="8">
        <v>0</v>
      </c>
      <c r="AC780" s="8">
        <v>0</v>
      </c>
      <c r="AD780" s="14">
        <f t="shared" si="49"/>
        <v>99.999999999999986</v>
      </c>
      <c r="AE780" s="8">
        <v>0</v>
      </c>
      <c r="AF780" s="8">
        <f t="shared" ref="AF780:AF789" si="53">0.2/14*100</f>
        <v>1.4285714285714286</v>
      </c>
      <c r="AG780" s="8">
        <v>0</v>
      </c>
      <c r="AH780" s="8">
        <v>0</v>
      </c>
      <c r="AI780" s="39" t="s">
        <v>1531</v>
      </c>
      <c r="AJ780" s="7">
        <v>408</v>
      </c>
      <c r="AK780" s="62">
        <v>1353</v>
      </c>
      <c r="AL780" s="193">
        <v>51.3</v>
      </c>
      <c r="AM780" s="192">
        <v>39.200000000000003</v>
      </c>
      <c r="AN780" s="192">
        <v>9.5</v>
      </c>
      <c r="AO780" s="85"/>
      <c r="AP780" s="85"/>
      <c r="AQ780" s="85"/>
      <c r="AR780" s="85"/>
      <c r="AS780" s="85"/>
      <c r="AT780" s="205"/>
      <c r="AU780" s="85">
        <v>1</v>
      </c>
      <c r="AV780" s="196">
        <f t="shared" si="51"/>
        <v>100</v>
      </c>
      <c r="AW780" s="85"/>
      <c r="AX780" s="85"/>
      <c r="AY780" s="39"/>
      <c r="AZ780" s="7"/>
      <c r="BA780" s="62"/>
      <c r="BB780" s="7"/>
      <c r="BC780" s="7"/>
      <c r="BD780" s="7"/>
      <c r="BE780" s="7"/>
      <c r="BF780" s="39"/>
      <c r="BG780" s="7"/>
      <c r="BH780" s="62"/>
      <c r="BI780" s="7"/>
      <c r="BJ780" s="32"/>
      <c r="BK780" s="257" t="s">
        <v>1909</v>
      </c>
    </row>
    <row r="781" spans="1:63" ht="23.25" customHeight="1" thickBot="1" x14ac:dyDescent="0.25">
      <c r="A781" s="7">
        <v>780</v>
      </c>
      <c r="B781" s="221"/>
      <c r="C781" s="221"/>
      <c r="D781" s="223"/>
      <c r="E781" s="54" t="s">
        <v>239</v>
      </c>
      <c r="F781" s="16">
        <f>(13-1)/14*100</f>
        <v>85.714285714285708</v>
      </c>
      <c r="G781" s="8">
        <f>1/14*100</f>
        <v>7.1428571428571423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17">
        <v>0</v>
      </c>
      <c r="T781" s="8">
        <f t="shared" si="52"/>
        <v>7.1428571428571423</v>
      </c>
      <c r="U781" s="8">
        <v>0</v>
      </c>
      <c r="V781" s="8">
        <v>0</v>
      </c>
      <c r="W781" s="8">
        <v>0</v>
      </c>
      <c r="X781" s="8">
        <v>0</v>
      </c>
      <c r="Y781" s="8">
        <v>0</v>
      </c>
      <c r="Z781" s="8">
        <v>0</v>
      </c>
      <c r="AA781" s="8">
        <v>0</v>
      </c>
      <c r="AB781" s="8">
        <v>0</v>
      </c>
      <c r="AC781" s="8">
        <v>0</v>
      </c>
      <c r="AD781" s="14">
        <f t="shared" si="49"/>
        <v>99.999999999999986</v>
      </c>
      <c r="AE781" s="8">
        <v>0</v>
      </c>
      <c r="AF781" s="8">
        <f t="shared" si="53"/>
        <v>1.4285714285714286</v>
      </c>
      <c r="AG781" s="8">
        <v>0</v>
      </c>
      <c r="AH781" s="8">
        <v>0</v>
      </c>
      <c r="AI781" s="39" t="s">
        <v>1531</v>
      </c>
      <c r="AJ781" s="7">
        <v>408</v>
      </c>
      <c r="AK781" s="62">
        <v>1353</v>
      </c>
      <c r="AL781" s="193">
        <f>69.4/100.8*100</f>
        <v>68.849206349206355</v>
      </c>
      <c r="AM781" s="192">
        <f>25.4/100.8*100</f>
        <v>25.198412698412696</v>
      </c>
      <c r="AN781" s="192">
        <f>6/100.8*100</f>
        <v>5.9523809523809526</v>
      </c>
      <c r="AO781" s="85"/>
      <c r="AP781" s="85"/>
      <c r="AQ781" s="85"/>
      <c r="AR781" s="85"/>
      <c r="AS781" s="85"/>
      <c r="AT781" s="205"/>
      <c r="AU781" s="85">
        <v>1</v>
      </c>
      <c r="AV781" s="196">
        <f t="shared" si="51"/>
        <v>100</v>
      </c>
      <c r="AW781" s="85"/>
      <c r="AX781" s="85"/>
      <c r="AY781" s="39"/>
      <c r="AZ781" s="7">
        <v>206</v>
      </c>
      <c r="BA781" s="62"/>
      <c r="BB781" s="7" t="s">
        <v>842</v>
      </c>
      <c r="BC781" s="7" t="s">
        <v>1109</v>
      </c>
      <c r="BD781" s="7" t="s">
        <v>1111</v>
      </c>
      <c r="BE781" s="85" t="s">
        <v>1905</v>
      </c>
      <c r="BF781" s="39"/>
      <c r="BG781" s="7"/>
      <c r="BH781" s="62"/>
      <c r="BI781" s="7"/>
      <c r="BJ781" s="32"/>
      <c r="BK781" s="256"/>
    </row>
    <row r="782" spans="1:63" ht="23.25" customHeight="1" thickBot="1" x14ac:dyDescent="0.25">
      <c r="A782" s="62">
        <v>781</v>
      </c>
      <c r="B782" s="221"/>
      <c r="C782" s="221"/>
      <c r="D782" s="223"/>
      <c r="E782" s="54" t="s">
        <v>492</v>
      </c>
      <c r="F782" s="16">
        <f>(13-1.2)/14*100</f>
        <v>84.285714285714292</v>
      </c>
      <c r="G782" s="8">
        <f>1.2/14*100</f>
        <v>8.5714285714285712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>
        <v>0</v>
      </c>
      <c r="S782" s="17">
        <v>0</v>
      </c>
      <c r="T782" s="8">
        <f t="shared" si="52"/>
        <v>7.1428571428571423</v>
      </c>
      <c r="U782" s="8">
        <v>0</v>
      </c>
      <c r="V782" s="8">
        <v>0</v>
      </c>
      <c r="W782" s="8">
        <v>0</v>
      </c>
      <c r="X782" s="8">
        <v>0</v>
      </c>
      <c r="Y782" s="8">
        <v>0</v>
      </c>
      <c r="Z782" s="8">
        <v>0</v>
      </c>
      <c r="AA782" s="8">
        <v>0</v>
      </c>
      <c r="AB782" s="8">
        <v>0</v>
      </c>
      <c r="AC782" s="8">
        <v>0</v>
      </c>
      <c r="AD782" s="14">
        <f t="shared" si="49"/>
        <v>100</v>
      </c>
      <c r="AE782" s="8">
        <v>0</v>
      </c>
      <c r="AF782" s="8">
        <f t="shared" si="53"/>
        <v>1.4285714285714286</v>
      </c>
      <c r="AG782" s="8">
        <v>0</v>
      </c>
      <c r="AH782" s="8">
        <v>0</v>
      </c>
      <c r="AI782" s="39" t="s">
        <v>1531</v>
      </c>
      <c r="AJ782" s="7">
        <v>408</v>
      </c>
      <c r="AK782" s="62">
        <v>1353</v>
      </c>
      <c r="AL782" s="193">
        <v>96.4</v>
      </c>
      <c r="AM782" s="192">
        <v>3.6</v>
      </c>
      <c r="AN782" s="192">
        <v>0</v>
      </c>
      <c r="AO782" s="85"/>
      <c r="AP782" s="85"/>
      <c r="AQ782" s="85"/>
      <c r="AR782" s="85"/>
      <c r="AS782" s="85"/>
      <c r="AT782" s="205"/>
      <c r="AU782" s="85">
        <v>1</v>
      </c>
      <c r="AV782" s="196">
        <f t="shared" si="51"/>
        <v>100</v>
      </c>
      <c r="AW782" s="85"/>
      <c r="AX782" s="85"/>
      <c r="AY782" s="39"/>
      <c r="AZ782" s="7">
        <v>215</v>
      </c>
      <c r="BA782" s="62"/>
      <c r="BB782" s="7" t="s">
        <v>842</v>
      </c>
      <c r="BC782" s="85" t="s">
        <v>1906</v>
      </c>
      <c r="BD782" s="7" t="s">
        <v>1112</v>
      </c>
      <c r="BE782" s="7" t="s">
        <v>1907</v>
      </c>
      <c r="BF782" s="39"/>
      <c r="BG782" s="7"/>
      <c r="BH782" s="62"/>
      <c r="BI782" s="7"/>
      <c r="BJ782" s="32"/>
      <c r="BK782" s="256"/>
    </row>
    <row r="783" spans="1:63" ht="23.25" customHeight="1" thickBot="1" x14ac:dyDescent="0.25">
      <c r="A783" s="7">
        <v>782</v>
      </c>
      <c r="B783" s="221"/>
      <c r="C783" s="221"/>
      <c r="D783" s="223"/>
      <c r="E783" s="54" t="s">
        <v>374</v>
      </c>
      <c r="F783" s="16">
        <f>(13-1.3)/14*100</f>
        <v>83.571428571428569</v>
      </c>
      <c r="G783" s="8">
        <f>1.3/14*100</f>
        <v>9.2857142857142865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>
        <v>0</v>
      </c>
      <c r="S783" s="17">
        <v>0</v>
      </c>
      <c r="T783" s="8">
        <f t="shared" si="52"/>
        <v>7.1428571428571423</v>
      </c>
      <c r="U783" s="8">
        <v>0</v>
      </c>
      <c r="V783" s="8">
        <v>0</v>
      </c>
      <c r="W783" s="8">
        <v>0</v>
      </c>
      <c r="X783" s="8">
        <v>0</v>
      </c>
      <c r="Y783" s="8">
        <v>0</v>
      </c>
      <c r="Z783" s="8">
        <v>0</v>
      </c>
      <c r="AA783" s="8">
        <v>0</v>
      </c>
      <c r="AB783" s="8">
        <v>0</v>
      </c>
      <c r="AC783" s="8">
        <v>0</v>
      </c>
      <c r="AD783" s="14">
        <f t="shared" si="49"/>
        <v>100</v>
      </c>
      <c r="AE783" s="8">
        <v>0</v>
      </c>
      <c r="AF783" s="8">
        <f t="shared" si="53"/>
        <v>1.4285714285714286</v>
      </c>
      <c r="AG783" s="8">
        <v>0</v>
      </c>
      <c r="AH783" s="8">
        <v>0</v>
      </c>
      <c r="AI783" s="39" t="s">
        <v>1531</v>
      </c>
      <c r="AJ783" s="7">
        <v>408</v>
      </c>
      <c r="AK783" s="62">
        <v>1353</v>
      </c>
      <c r="AL783" s="193">
        <f>97.3/98.9*100</f>
        <v>98.38220424671384</v>
      </c>
      <c r="AM783" s="192">
        <f>1.6/98.9*100</f>
        <v>1.6177957532861478</v>
      </c>
      <c r="AN783" s="192">
        <v>0</v>
      </c>
      <c r="AO783" s="85"/>
      <c r="AP783" s="85"/>
      <c r="AQ783" s="85"/>
      <c r="AR783" s="85"/>
      <c r="AS783" s="85"/>
      <c r="AT783" s="205"/>
      <c r="AU783" s="85">
        <v>1</v>
      </c>
      <c r="AV783" s="196">
        <f t="shared" si="51"/>
        <v>99.999999999999986</v>
      </c>
      <c r="AW783" s="85"/>
      <c r="AX783" s="85"/>
      <c r="AY783" s="39"/>
      <c r="AZ783" s="7"/>
      <c r="BA783" s="62"/>
      <c r="BB783" s="7"/>
      <c r="BC783" s="7"/>
      <c r="BD783" s="7"/>
      <c r="BE783" s="7"/>
      <c r="BF783" s="39"/>
      <c r="BG783" s="7"/>
      <c r="BH783" s="62"/>
      <c r="BI783" s="7"/>
      <c r="BJ783" s="32"/>
      <c r="BK783" s="256"/>
    </row>
    <row r="784" spans="1:63" ht="23.25" customHeight="1" thickBot="1" x14ac:dyDescent="0.25">
      <c r="A784" s="62">
        <v>783</v>
      </c>
      <c r="B784" s="221"/>
      <c r="C784" s="221"/>
      <c r="D784" s="223"/>
      <c r="E784" s="54" t="s">
        <v>493</v>
      </c>
      <c r="F784" s="16">
        <f>(13-1.4)/14*100</f>
        <v>82.857142857142847</v>
      </c>
      <c r="G784" s="8">
        <f>1.4/14*100</f>
        <v>10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17">
        <v>0</v>
      </c>
      <c r="T784" s="8">
        <f t="shared" si="52"/>
        <v>7.1428571428571423</v>
      </c>
      <c r="U784" s="8">
        <v>0</v>
      </c>
      <c r="V784" s="8">
        <v>0</v>
      </c>
      <c r="W784" s="8">
        <v>0</v>
      </c>
      <c r="X784" s="8">
        <v>0</v>
      </c>
      <c r="Y784" s="8">
        <v>0</v>
      </c>
      <c r="Z784" s="8">
        <v>0</v>
      </c>
      <c r="AA784" s="8">
        <v>0</v>
      </c>
      <c r="AB784" s="8">
        <v>0</v>
      </c>
      <c r="AC784" s="8">
        <v>0</v>
      </c>
      <c r="AD784" s="14">
        <f t="shared" si="49"/>
        <v>99.999999999999986</v>
      </c>
      <c r="AE784" s="8">
        <v>0</v>
      </c>
      <c r="AF784" s="8">
        <f t="shared" si="53"/>
        <v>1.4285714285714286</v>
      </c>
      <c r="AG784" s="8">
        <v>0</v>
      </c>
      <c r="AH784" s="8">
        <v>0</v>
      </c>
      <c r="AI784" s="39" t="s">
        <v>1531</v>
      </c>
      <c r="AJ784" s="7">
        <v>408</v>
      </c>
      <c r="AK784" s="62">
        <v>1353</v>
      </c>
      <c r="AL784" s="193">
        <v>100</v>
      </c>
      <c r="AM784" s="192">
        <v>0</v>
      </c>
      <c r="AN784" s="192">
        <v>0</v>
      </c>
      <c r="AO784" s="85"/>
      <c r="AP784" s="85"/>
      <c r="AQ784" s="85"/>
      <c r="AR784" s="85"/>
      <c r="AS784" s="85"/>
      <c r="AT784" s="205"/>
      <c r="AU784" s="85">
        <v>1</v>
      </c>
      <c r="AV784" s="196">
        <f t="shared" si="51"/>
        <v>100</v>
      </c>
      <c r="AW784" s="85"/>
      <c r="AX784" s="85"/>
      <c r="AY784" s="39"/>
      <c r="AZ784" s="7">
        <v>220</v>
      </c>
      <c r="BA784" s="62"/>
      <c r="BB784" s="7" t="s">
        <v>842</v>
      </c>
      <c r="BC784" s="7" t="s">
        <v>1110</v>
      </c>
      <c r="BD784" s="7" t="s">
        <v>1113</v>
      </c>
      <c r="BE784" s="7" t="s">
        <v>1114</v>
      </c>
      <c r="BF784" s="39"/>
      <c r="BG784" s="7"/>
      <c r="BH784" s="62"/>
      <c r="BI784" s="7"/>
      <c r="BJ784" s="32"/>
      <c r="BK784" s="256"/>
    </row>
    <row r="785" spans="1:63" ht="23.25" customHeight="1" thickBot="1" x14ac:dyDescent="0.25">
      <c r="A785" s="7">
        <v>784</v>
      </c>
      <c r="B785" s="221"/>
      <c r="C785" s="221"/>
      <c r="D785" s="223" t="s">
        <v>491</v>
      </c>
      <c r="E785" s="54" t="s">
        <v>443</v>
      </c>
      <c r="F785" s="16">
        <f>(13-0.8)/14*100</f>
        <v>87.142857142857139</v>
      </c>
      <c r="G785" s="8">
        <f>0.8/14*100</f>
        <v>5.7142857142857144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>
        <v>0</v>
      </c>
      <c r="S785" s="17">
        <v>0</v>
      </c>
      <c r="T785" s="8">
        <f t="shared" si="52"/>
        <v>7.1428571428571423</v>
      </c>
      <c r="U785" s="8">
        <v>0</v>
      </c>
      <c r="V785" s="8">
        <v>0</v>
      </c>
      <c r="W785" s="8">
        <v>0</v>
      </c>
      <c r="X785" s="8">
        <v>0</v>
      </c>
      <c r="Y785" s="8">
        <v>0</v>
      </c>
      <c r="Z785" s="8">
        <v>0</v>
      </c>
      <c r="AA785" s="8">
        <v>0</v>
      </c>
      <c r="AB785" s="8">
        <v>0</v>
      </c>
      <c r="AC785" s="8">
        <v>0</v>
      </c>
      <c r="AD785" s="14">
        <f t="shared" si="49"/>
        <v>99.999999999999986</v>
      </c>
      <c r="AE785" s="8">
        <v>0</v>
      </c>
      <c r="AF785" s="8">
        <f t="shared" si="53"/>
        <v>1.4285714285714286</v>
      </c>
      <c r="AG785" s="8">
        <v>0</v>
      </c>
      <c r="AH785" s="8">
        <v>0</v>
      </c>
      <c r="AI785" s="39" t="s">
        <v>1531</v>
      </c>
      <c r="AJ785" s="7">
        <v>72</v>
      </c>
      <c r="AK785" s="62">
        <v>1353</v>
      </c>
      <c r="AL785" s="193">
        <f>22.8/100.4*100</f>
        <v>22.709163346613543</v>
      </c>
      <c r="AM785" s="192">
        <f>62.6/100.4*100</f>
        <v>62.350597609561753</v>
      </c>
      <c r="AN785" s="192">
        <f>15/100.4*100</f>
        <v>14.940239043824699</v>
      </c>
      <c r="AO785" s="85"/>
      <c r="AP785" s="85"/>
      <c r="AQ785" s="85"/>
      <c r="AR785" s="85"/>
      <c r="AS785" s="85"/>
      <c r="AT785" s="205"/>
      <c r="AU785" s="85">
        <v>1</v>
      </c>
      <c r="AV785" s="196">
        <f t="shared" si="51"/>
        <v>100</v>
      </c>
      <c r="AW785" s="85"/>
      <c r="AX785" s="85"/>
      <c r="AY785" s="39"/>
      <c r="AZ785" s="7"/>
      <c r="BA785" s="62"/>
      <c r="BB785" s="7"/>
      <c r="BC785" s="7"/>
      <c r="BD785" s="7"/>
      <c r="BE785" s="7"/>
      <c r="BF785" s="39"/>
      <c r="BG785" s="7"/>
      <c r="BH785" s="62"/>
      <c r="BI785" s="7"/>
      <c r="BJ785" s="32"/>
      <c r="BK785" s="256"/>
    </row>
    <row r="786" spans="1:63" ht="23.25" customHeight="1" thickBot="1" x14ac:dyDescent="0.25">
      <c r="A786" s="62">
        <v>785</v>
      </c>
      <c r="B786" s="221"/>
      <c r="C786" s="221"/>
      <c r="D786" s="223"/>
      <c r="E786" s="54" t="s">
        <v>239</v>
      </c>
      <c r="F786" s="16">
        <f>(13-1)/14*100</f>
        <v>85.714285714285708</v>
      </c>
      <c r="G786" s="8">
        <f>1/14*100</f>
        <v>7.1428571428571423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17">
        <v>0</v>
      </c>
      <c r="T786" s="8">
        <f t="shared" si="52"/>
        <v>7.1428571428571423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8">
        <v>0</v>
      </c>
      <c r="AA786" s="8">
        <v>0</v>
      </c>
      <c r="AB786" s="8">
        <v>0</v>
      </c>
      <c r="AC786" s="8">
        <v>0</v>
      </c>
      <c r="AD786" s="14">
        <f t="shared" si="49"/>
        <v>99.999999999999986</v>
      </c>
      <c r="AE786" s="8">
        <v>0</v>
      </c>
      <c r="AF786" s="8">
        <f t="shared" si="53"/>
        <v>1.4285714285714286</v>
      </c>
      <c r="AG786" s="8">
        <v>0</v>
      </c>
      <c r="AH786" s="8">
        <v>0</v>
      </c>
      <c r="AI786" s="39" t="s">
        <v>1531</v>
      </c>
      <c r="AJ786" s="7">
        <v>72</v>
      </c>
      <c r="AK786" s="62">
        <v>1353</v>
      </c>
      <c r="AL786" s="193">
        <f>65.3/101.1*100</f>
        <v>64.589515331355102</v>
      </c>
      <c r="AM786" s="192">
        <f>27.7/101.1*100</f>
        <v>27.398615232443124</v>
      </c>
      <c r="AN786" s="192">
        <f>8.1/101.1*100</f>
        <v>8.0118694362017813</v>
      </c>
      <c r="AO786" s="85"/>
      <c r="AP786" s="85"/>
      <c r="AQ786" s="85"/>
      <c r="AR786" s="85"/>
      <c r="AS786" s="85"/>
      <c r="AT786" s="205"/>
      <c r="AU786" s="85">
        <v>1</v>
      </c>
      <c r="AV786" s="196">
        <f t="shared" si="51"/>
        <v>100</v>
      </c>
      <c r="AW786" s="85"/>
      <c r="AX786" s="85"/>
      <c r="AY786" s="39"/>
      <c r="AZ786" s="7"/>
      <c r="BA786" s="62"/>
      <c r="BB786" s="7"/>
      <c r="BC786" s="7"/>
      <c r="BD786" s="7"/>
      <c r="BE786" s="7"/>
      <c r="BF786" s="39"/>
      <c r="BG786" s="7"/>
      <c r="BH786" s="62"/>
      <c r="BI786" s="7"/>
      <c r="BJ786" s="32"/>
      <c r="BK786" s="256"/>
    </row>
    <row r="787" spans="1:63" ht="23.25" customHeight="1" thickBot="1" x14ac:dyDescent="0.25">
      <c r="A787" s="7">
        <v>786</v>
      </c>
      <c r="B787" s="221"/>
      <c r="C787" s="221"/>
      <c r="D787" s="223"/>
      <c r="E787" s="54" t="s">
        <v>492</v>
      </c>
      <c r="F787" s="16">
        <f>(13-1.2)/14*100</f>
        <v>84.285714285714292</v>
      </c>
      <c r="G787" s="8">
        <f>1.2/14*100</f>
        <v>8.5714285714285712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17">
        <v>0</v>
      </c>
      <c r="T787" s="8">
        <f t="shared" si="52"/>
        <v>7.1428571428571423</v>
      </c>
      <c r="U787" s="8">
        <v>0</v>
      </c>
      <c r="V787" s="8">
        <v>0</v>
      </c>
      <c r="W787" s="8">
        <v>0</v>
      </c>
      <c r="X787" s="8">
        <v>0</v>
      </c>
      <c r="Y787" s="8">
        <v>0</v>
      </c>
      <c r="Z787" s="8">
        <v>0</v>
      </c>
      <c r="AA787" s="8">
        <v>0</v>
      </c>
      <c r="AB787" s="8">
        <v>0</v>
      </c>
      <c r="AC787" s="8">
        <v>0</v>
      </c>
      <c r="AD787" s="14">
        <f t="shared" si="49"/>
        <v>100</v>
      </c>
      <c r="AE787" s="8">
        <v>0</v>
      </c>
      <c r="AF787" s="8">
        <f t="shared" si="53"/>
        <v>1.4285714285714286</v>
      </c>
      <c r="AG787" s="8">
        <v>0</v>
      </c>
      <c r="AH787" s="8">
        <v>0</v>
      </c>
      <c r="AI787" s="39" t="s">
        <v>1531</v>
      </c>
      <c r="AJ787" s="7">
        <v>72</v>
      </c>
      <c r="AK787" s="62">
        <v>1353</v>
      </c>
      <c r="AL787" s="193">
        <f>89.5/100.6*100</f>
        <v>88.966202783300204</v>
      </c>
      <c r="AM787" s="192">
        <f>9.4/100.6*100</f>
        <v>9.3439363817097423</v>
      </c>
      <c r="AN787" s="192">
        <f>1.7/100.6*100</f>
        <v>1.6898608349900597</v>
      </c>
      <c r="AO787" s="85"/>
      <c r="AP787" s="85"/>
      <c r="AQ787" s="85"/>
      <c r="AR787" s="85"/>
      <c r="AS787" s="85"/>
      <c r="AT787" s="205"/>
      <c r="AU787" s="85">
        <v>1</v>
      </c>
      <c r="AV787" s="196">
        <f t="shared" si="51"/>
        <v>100</v>
      </c>
      <c r="AW787" s="85"/>
      <c r="AX787" s="85"/>
      <c r="AY787" s="39"/>
      <c r="AZ787" s="7"/>
      <c r="BA787" s="62"/>
      <c r="BB787" s="7"/>
      <c r="BC787" s="7"/>
      <c r="BD787" s="7"/>
      <c r="BE787" s="7"/>
      <c r="BF787" s="39"/>
      <c r="BG787" s="7"/>
      <c r="BH787" s="62"/>
      <c r="BI787" s="7"/>
      <c r="BJ787" s="32"/>
      <c r="BK787" s="256"/>
    </row>
    <row r="788" spans="1:63" ht="23.25" customHeight="1" thickBot="1" x14ac:dyDescent="0.25">
      <c r="A788" s="62">
        <v>787</v>
      </c>
      <c r="B788" s="221"/>
      <c r="C788" s="221"/>
      <c r="D788" s="223"/>
      <c r="E788" s="54" t="s">
        <v>374</v>
      </c>
      <c r="F788" s="16">
        <f>(13-1.3)/14*100</f>
        <v>83.571428571428569</v>
      </c>
      <c r="G788" s="8">
        <f>1.3/14*100</f>
        <v>9.2857142857142865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17">
        <v>0</v>
      </c>
      <c r="T788" s="8">
        <f t="shared" si="52"/>
        <v>7.1428571428571423</v>
      </c>
      <c r="U788" s="8">
        <v>0</v>
      </c>
      <c r="V788" s="8">
        <v>0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14">
        <f t="shared" si="49"/>
        <v>100</v>
      </c>
      <c r="AE788" s="8">
        <v>0</v>
      </c>
      <c r="AF788" s="8">
        <f t="shared" si="53"/>
        <v>1.4285714285714286</v>
      </c>
      <c r="AG788" s="8">
        <v>0</v>
      </c>
      <c r="AH788" s="8">
        <v>0</v>
      </c>
      <c r="AI788" s="39" t="s">
        <v>1531</v>
      </c>
      <c r="AJ788" s="7">
        <v>72</v>
      </c>
      <c r="AK788" s="62">
        <v>1353</v>
      </c>
      <c r="AL788" s="193">
        <v>95.3</v>
      </c>
      <c r="AM788" s="192">
        <v>4.3</v>
      </c>
      <c r="AN788" s="192">
        <v>0.4</v>
      </c>
      <c r="AO788" s="85"/>
      <c r="AP788" s="85"/>
      <c r="AQ788" s="85"/>
      <c r="AR788" s="85"/>
      <c r="AS788" s="85"/>
      <c r="AT788" s="205"/>
      <c r="AU788" s="85">
        <v>1</v>
      </c>
      <c r="AV788" s="196">
        <f t="shared" si="51"/>
        <v>100</v>
      </c>
      <c r="AW788" s="85"/>
      <c r="AX788" s="85"/>
      <c r="AY788" s="39"/>
      <c r="AZ788" s="7"/>
      <c r="BA788" s="62"/>
      <c r="BB788" s="7"/>
      <c r="BC788" s="7"/>
      <c r="BD788" s="7"/>
      <c r="BE788" s="7"/>
      <c r="BF788" s="39"/>
      <c r="BG788" s="7"/>
      <c r="BH788" s="62"/>
      <c r="BI788" s="7"/>
      <c r="BJ788" s="32"/>
      <c r="BK788" s="256"/>
    </row>
    <row r="789" spans="1:63" ht="23.25" customHeight="1" thickBot="1" x14ac:dyDescent="0.25">
      <c r="A789" s="7">
        <v>788</v>
      </c>
      <c r="B789" s="221"/>
      <c r="C789" s="221"/>
      <c r="D789" s="223"/>
      <c r="E789" s="54" t="s">
        <v>493</v>
      </c>
      <c r="F789" s="16">
        <f>(13-1.4)/14*100</f>
        <v>82.857142857142847</v>
      </c>
      <c r="G789" s="8">
        <f>1.4/14*100</f>
        <v>10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17">
        <v>0</v>
      </c>
      <c r="T789" s="8">
        <f t="shared" si="52"/>
        <v>7.1428571428571423</v>
      </c>
      <c r="U789" s="8">
        <v>0</v>
      </c>
      <c r="V789" s="8">
        <v>0</v>
      </c>
      <c r="W789" s="8">
        <v>0</v>
      </c>
      <c r="X789" s="8">
        <v>0</v>
      </c>
      <c r="Y789" s="8">
        <v>0</v>
      </c>
      <c r="Z789" s="8">
        <v>0</v>
      </c>
      <c r="AA789" s="8">
        <v>0</v>
      </c>
      <c r="AB789" s="8">
        <v>0</v>
      </c>
      <c r="AC789" s="8">
        <v>0</v>
      </c>
      <c r="AD789" s="14">
        <f t="shared" si="49"/>
        <v>99.999999999999986</v>
      </c>
      <c r="AE789" s="8">
        <v>0</v>
      </c>
      <c r="AF789" s="8">
        <f t="shared" si="53"/>
        <v>1.4285714285714286</v>
      </c>
      <c r="AG789" s="8">
        <v>0</v>
      </c>
      <c r="AH789" s="8">
        <v>0</v>
      </c>
      <c r="AI789" s="39" t="s">
        <v>1531</v>
      </c>
      <c r="AJ789" s="7">
        <v>72</v>
      </c>
      <c r="AK789" s="62">
        <v>1353</v>
      </c>
      <c r="AL789" s="193">
        <f>95/100.75*100</f>
        <v>94.292803970223332</v>
      </c>
      <c r="AM789" s="192">
        <f>0.75/100.75*100</f>
        <v>0.74441687344913154</v>
      </c>
      <c r="AN789" s="192">
        <f>5/100.75*100</f>
        <v>4.9627791563275441</v>
      </c>
      <c r="AO789" s="85"/>
      <c r="AP789" s="85"/>
      <c r="AQ789" s="85"/>
      <c r="AR789" s="85"/>
      <c r="AS789" s="85"/>
      <c r="AT789" s="205"/>
      <c r="AU789" s="85">
        <v>1</v>
      </c>
      <c r="AV789" s="196">
        <f t="shared" si="51"/>
        <v>100</v>
      </c>
      <c r="AW789" s="85"/>
      <c r="AX789" s="85"/>
      <c r="AY789" s="39"/>
      <c r="AZ789" s="7"/>
      <c r="BA789" s="62"/>
      <c r="BB789" s="7"/>
      <c r="BC789" s="7"/>
      <c r="BD789" s="7"/>
      <c r="BE789" s="7"/>
      <c r="BF789" s="39"/>
      <c r="BG789" s="7"/>
      <c r="BH789" s="62"/>
      <c r="BI789" s="7"/>
      <c r="BJ789" s="32"/>
      <c r="BK789" s="256"/>
    </row>
    <row r="790" spans="1:63" s="4" customFormat="1" ht="23.25" customHeight="1" thickBot="1" x14ac:dyDescent="0.25">
      <c r="A790" s="62">
        <v>789</v>
      </c>
      <c r="B790" s="238">
        <v>659</v>
      </c>
      <c r="C790" s="238" t="s">
        <v>1838</v>
      </c>
      <c r="D790" s="12" t="s">
        <v>191</v>
      </c>
      <c r="E790" s="12"/>
      <c r="F790" s="87">
        <f>11.1/14*100</f>
        <v>79.285714285714278</v>
      </c>
      <c r="G790" s="88">
        <f>1.1/14*100</f>
        <v>7.8571428571428585</v>
      </c>
      <c r="H790" s="88">
        <v>0</v>
      </c>
      <c r="I790" s="88">
        <v>0</v>
      </c>
      <c r="J790" s="88">
        <f>0.8/14*100</f>
        <v>5.7142857142857144</v>
      </c>
      <c r="K790" s="88">
        <v>0</v>
      </c>
      <c r="L790" s="88">
        <v>0</v>
      </c>
      <c r="M790" s="88">
        <v>0</v>
      </c>
      <c r="N790" s="88">
        <v>0</v>
      </c>
      <c r="O790" s="88">
        <v>0</v>
      </c>
      <c r="P790" s="88">
        <v>0</v>
      </c>
      <c r="Q790" s="88">
        <v>0</v>
      </c>
      <c r="R790" s="88">
        <v>0</v>
      </c>
      <c r="S790" s="89">
        <v>0</v>
      </c>
      <c r="T790" s="88">
        <f t="shared" si="52"/>
        <v>7.1428571428571423</v>
      </c>
      <c r="U790" s="88">
        <v>0</v>
      </c>
      <c r="V790" s="88">
        <v>0</v>
      </c>
      <c r="W790" s="88">
        <v>0</v>
      </c>
      <c r="X790" s="88">
        <v>0</v>
      </c>
      <c r="Y790" s="88">
        <v>0</v>
      </c>
      <c r="Z790" s="88">
        <v>0</v>
      </c>
      <c r="AA790" s="88">
        <v>0</v>
      </c>
      <c r="AB790" s="88">
        <v>0</v>
      </c>
      <c r="AC790" s="88">
        <v>0</v>
      </c>
      <c r="AD790" s="90">
        <f t="shared" si="49"/>
        <v>99.999999999999986</v>
      </c>
      <c r="AE790" s="88">
        <v>0</v>
      </c>
      <c r="AF790" s="88">
        <v>0</v>
      </c>
      <c r="AG790" s="88">
        <v>0</v>
      </c>
      <c r="AH790" s="88">
        <f>0.2/14*100</f>
        <v>1.4285714285714286</v>
      </c>
      <c r="AI790" s="156" t="s">
        <v>1531</v>
      </c>
      <c r="AJ790" s="45">
        <v>225</v>
      </c>
      <c r="AK790" s="91">
        <v>1353</v>
      </c>
      <c r="AL790" s="197"/>
      <c r="AM790" s="189"/>
      <c r="AN790" s="189"/>
      <c r="AO790" s="189"/>
      <c r="AP790" s="189"/>
      <c r="AQ790" s="189"/>
      <c r="AR790" s="189"/>
      <c r="AS790" s="189"/>
      <c r="AT790" s="198"/>
      <c r="AU790" s="189"/>
      <c r="AV790" s="199"/>
      <c r="AW790" s="189">
        <v>11.448</v>
      </c>
      <c r="AX790" s="189"/>
      <c r="AY790" s="156">
        <v>0.05</v>
      </c>
      <c r="AZ790" s="45">
        <v>285</v>
      </c>
      <c r="BA790" s="91"/>
      <c r="BB790" s="45">
        <v>1.5</v>
      </c>
      <c r="BC790" s="45">
        <v>5.9</v>
      </c>
      <c r="BD790" s="45">
        <v>286</v>
      </c>
      <c r="BE790" s="45">
        <v>20.5</v>
      </c>
      <c r="BF790" s="156"/>
      <c r="BG790" s="45"/>
      <c r="BH790" s="91"/>
      <c r="BI790" s="45"/>
      <c r="BJ790" s="67"/>
      <c r="BK790" s="256"/>
    </row>
    <row r="791" spans="1:63" s="6" customFormat="1" ht="23.25" customHeight="1" thickBot="1" x14ac:dyDescent="0.25">
      <c r="A791" s="7">
        <v>790</v>
      </c>
      <c r="B791" s="222"/>
      <c r="C791" s="222"/>
      <c r="D791" s="13" t="s">
        <v>192</v>
      </c>
      <c r="E791" s="13"/>
      <c r="F791" s="80">
        <f>11.1/14*100</f>
        <v>79.285714285714278</v>
      </c>
      <c r="G791" s="81">
        <f>1.1/14*100</f>
        <v>7.8571428571428585</v>
      </c>
      <c r="H791" s="81">
        <v>0</v>
      </c>
      <c r="I791" s="81">
        <v>0</v>
      </c>
      <c r="J791" s="81">
        <f>0.8/14*100</f>
        <v>5.7142857142857144</v>
      </c>
      <c r="K791" s="81">
        <v>0</v>
      </c>
      <c r="L791" s="81">
        <v>0</v>
      </c>
      <c r="M791" s="81">
        <v>0</v>
      </c>
      <c r="N791" s="81">
        <v>0</v>
      </c>
      <c r="O791" s="81">
        <v>0</v>
      </c>
      <c r="P791" s="81">
        <v>0</v>
      </c>
      <c r="Q791" s="81">
        <v>0</v>
      </c>
      <c r="R791" s="81">
        <v>0</v>
      </c>
      <c r="S791" s="82">
        <v>0</v>
      </c>
      <c r="T791" s="81">
        <f t="shared" si="52"/>
        <v>7.1428571428571423</v>
      </c>
      <c r="U791" s="81">
        <v>0</v>
      </c>
      <c r="V791" s="81">
        <v>0</v>
      </c>
      <c r="W791" s="81">
        <v>0</v>
      </c>
      <c r="X791" s="81">
        <v>0</v>
      </c>
      <c r="Y791" s="81">
        <v>0</v>
      </c>
      <c r="Z791" s="81">
        <v>0</v>
      </c>
      <c r="AA791" s="81">
        <v>0</v>
      </c>
      <c r="AB791" s="81">
        <v>0</v>
      </c>
      <c r="AC791" s="81">
        <v>0</v>
      </c>
      <c r="AD791" s="83">
        <f t="shared" si="49"/>
        <v>99.999999999999986</v>
      </c>
      <c r="AE791" s="81">
        <v>0</v>
      </c>
      <c r="AF791" s="81">
        <v>0</v>
      </c>
      <c r="AG791" s="81">
        <v>0</v>
      </c>
      <c r="AH791" s="81">
        <f>0.25/14*100</f>
        <v>1.7857142857142856</v>
      </c>
      <c r="AI791" s="79" t="s">
        <v>1531</v>
      </c>
      <c r="AJ791" s="65">
        <v>225</v>
      </c>
      <c r="AK791" s="78">
        <v>1353</v>
      </c>
      <c r="AL791" s="200"/>
      <c r="AM791" s="190"/>
      <c r="AN791" s="190"/>
      <c r="AO791" s="190"/>
      <c r="AP791" s="190"/>
      <c r="AQ791" s="190"/>
      <c r="AR791" s="190"/>
      <c r="AS791" s="190"/>
      <c r="AT791" s="201"/>
      <c r="AU791" s="190"/>
      <c r="AV791" s="202"/>
      <c r="AW791" s="190">
        <v>11.500999999999999</v>
      </c>
      <c r="AX791" s="190"/>
      <c r="AY791" s="79">
        <v>0.05</v>
      </c>
      <c r="AZ791" s="65">
        <v>290</v>
      </c>
      <c r="BA791" s="78"/>
      <c r="BB791" s="65">
        <v>1.5</v>
      </c>
      <c r="BC791" s="65">
        <v>5.3</v>
      </c>
      <c r="BD791" s="65">
        <v>282</v>
      </c>
      <c r="BE791" s="65"/>
      <c r="BF791" s="79"/>
      <c r="BG791" s="65"/>
      <c r="BH791" s="78"/>
      <c r="BI791" s="65"/>
      <c r="BJ791" s="68"/>
      <c r="BK791" s="256"/>
    </row>
    <row r="792" spans="1:63" ht="23.25" customHeight="1" thickBot="1" x14ac:dyDescent="0.25">
      <c r="A792" s="62">
        <v>791</v>
      </c>
      <c r="B792" s="238">
        <v>660</v>
      </c>
      <c r="C792" s="238" t="s">
        <v>1837</v>
      </c>
      <c r="D792" s="225" t="s">
        <v>193</v>
      </c>
      <c r="E792" s="54" t="s">
        <v>490</v>
      </c>
      <c r="F792" s="16">
        <v>82.269503546099287</v>
      </c>
      <c r="G792" s="8">
        <v>10.342789598108746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>
        <v>0</v>
      </c>
      <c r="S792" s="17">
        <v>0</v>
      </c>
      <c r="T792" s="8">
        <v>7.3877068557919614</v>
      </c>
      <c r="U792" s="8">
        <v>0</v>
      </c>
      <c r="V792" s="8">
        <v>0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14">
        <f t="shared" si="49"/>
        <v>100</v>
      </c>
      <c r="AE792" s="8">
        <v>0</v>
      </c>
      <c r="AF792" s="8">
        <v>0</v>
      </c>
      <c r="AG792" s="8">
        <v>0</v>
      </c>
      <c r="AH792" s="8">
        <v>0</v>
      </c>
      <c r="AI792" s="39" t="s">
        <v>1531</v>
      </c>
      <c r="AJ792" s="7"/>
      <c r="AK792" s="62"/>
      <c r="AL792" s="158"/>
      <c r="AM792" s="85"/>
      <c r="AN792" s="85"/>
      <c r="AO792" s="85"/>
      <c r="AP792" s="85"/>
      <c r="AQ792" s="85"/>
      <c r="AR792" s="85"/>
      <c r="AS792" s="85"/>
      <c r="AT792" s="205"/>
      <c r="AU792" s="85"/>
      <c r="AV792" s="196"/>
      <c r="AW792" s="85">
        <v>11.433</v>
      </c>
      <c r="AX792" s="85"/>
      <c r="AY792" s="39"/>
      <c r="AZ792" s="7">
        <v>190.2</v>
      </c>
      <c r="BA792" s="62"/>
      <c r="BB792" s="7">
        <v>2</v>
      </c>
      <c r="BC792" s="85">
        <v>15.2</v>
      </c>
      <c r="BD792" s="85">
        <v>191.1</v>
      </c>
      <c r="BE792" s="85">
        <v>8.6</v>
      </c>
      <c r="BF792" s="39"/>
      <c r="BG792" s="7"/>
      <c r="BH792" s="62"/>
      <c r="BI792" s="7"/>
      <c r="BJ792" s="32"/>
      <c r="BK792" s="257" t="s">
        <v>1904</v>
      </c>
    </row>
    <row r="793" spans="1:63" ht="23.25" customHeight="1" thickBot="1" x14ac:dyDescent="0.25">
      <c r="A793" s="7">
        <v>792</v>
      </c>
      <c r="B793" s="221"/>
      <c r="C793" s="221"/>
      <c r="D793" s="223"/>
      <c r="E793" s="54" t="s">
        <v>488</v>
      </c>
      <c r="F793" s="16">
        <v>82.56827425915165</v>
      </c>
      <c r="G793" s="8">
        <v>10.168506682161532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17">
        <v>0</v>
      </c>
      <c r="T793" s="8">
        <v>7.2632190586868095</v>
      </c>
      <c r="U793" s="8">
        <v>0</v>
      </c>
      <c r="V793" s="8">
        <v>0</v>
      </c>
      <c r="W793" s="8">
        <v>0</v>
      </c>
      <c r="X793" s="8">
        <v>0</v>
      </c>
      <c r="Y793" s="8">
        <v>0</v>
      </c>
      <c r="Z793" s="8">
        <v>0</v>
      </c>
      <c r="AA793" s="8">
        <v>0</v>
      </c>
      <c r="AB793" s="8">
        <v>0</v>
      </c>
      <c r="AC793" s="8">
        <v>0</v>
      </c>
      <c r="AD793" s="14">
        <f t="shared" si="49"/>
        <v>100</v>
      </c>
      <c r="AE793" s="8">
        <v>0</v>
      </c>
      <c r="AF793" s="8">
        <v>0</v>
      </c>
      <c r="AG793" s="8">
        <v>0</v>
      </c>
      <c r="AH793" s="8">
        <v>0</v>
      </c>
      <c r="AI793" s="39" t="s">
        <v>1531</v>
      </c>
      <c r="AJ793" s="7"/>
      <c r="AK793" s="62"/>
      <c r="AL793" s="158"/>
      <c r="AM793" s="85"/>
      <c r="AN793" s="85"/>
      <c r="AO793" s="85"/>
      <c r="AP793" s="85"/>
      <c r="AQ793" s="85"/>
      <c r="AR793" s="85"/>
      <c r="AS793" s="85"/>
      <c r="AT793" s="205"/>
      <c r="AU793" s="85"/>
      <c r="AV793" s="196"/>
      <c r="AW793" s="85">
        <v>11.435</v>
      </c>
      <c r="AX793" s="85"/>
      <c r="AY793" s="39"/>
      <c r="AZ793" s="7">
        <v>188.3</v>
      </c>
      <c r="BA793" s="62"/>
      <c r="BB793" s="7">
        <v>2</v>
      </c>
      <c r="BC793" s="85">
        <v>16.7</v>
      </c>
      <c r="BD793" s="85">
        <v>186.9</v>
      </c>
      <c r="BE793" s="85">
        <v>7.1</v>
      </c>
      <c r="BF793" s="39"/>
      <c r="BG793" s="7"/>
      <c r="BH793" s="62"/>
      <c r="BI793" s="7"/>
      <c r="BJ793" s="32"/>
      <c r="BK793" s="256"/>
    </row>
    <row r="794" spans="1:63" ht="23.25" customHeight="1" thickBot="1" x14ac:dyDescent="0.25">
      <c r="A794" s="62">
        <v>793</v>
      </c>
      <c r="B794" s="221"/>
      <c r="C794" s="221"/>
      <c r="D794" s="223"/>
      <c r="E794" s="54" t="s">
        <v>480</v>
      </c>
      <c r="F794" s="16">
        <v>82.857142857142847</v>
      </c>
      <c r="G794" s="8">
        <v>10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17">
        <v>0</v>
      </c>
      <c r="T794" s="8">
        <v>7.1428571428571423</v>
      </c>
      <c r="U794" s="8">
        <v>0</v>
      </c>
      <c r="V794" s="8">
        <v>0</v>
      </c>
      <c r="W794" s="8">
        <v>0</v>
      </c>
      <c r="X794" s="8">
        <v>0</v>
      </c>
      <c r="Y794" s="8">
        <v>0</v>
      </c>
      <c r="Z794" s="8">
        <v>0</v>
      </c>
      <c r="AA794" s="8">
        <v>0</v>
      </c>
      <c r="AB794" s="8">
        <v>0</v>
      </c>
      <c r="AC794" s="8">
        <v>0</v>
      </c>
      <c r="AD794" s="14">
        <f t="shared" si="49"/>
        <v>99.999999999999986</v>
      </c>
      <c r="AE794" s="8">
        <v>0</v>
      </c>
      <c r="AF794" s="8">
        <v>0</v>
      </c>
      <c r="AG794" s="8">
        <v>0</v>
      </c>
      <c r="AH794" s="8">
        <v>0</v>
      </c>
      <c r="AI794" s="39" t="s">
        <v>1531</v>
      </c>
      <c r="AJ794" s="7"/>
      <c r="AK794" s="62"/>
      <c r="AL794" s="158"/>
      <c r="AM794" s="85"/>
      <c r="AN794" s="85"/>
      <c r="AO794" s="85"/>
      <c r="AP794" s="85"/>
      <c r="AQ794" s="85"/>
      <c r="AR794" s="85"/>
      <c r="AS794" s="85"/>
      <c r="AT794" s="205"/>
      <c r="AU794" s="85"/>
      <c r="AV794" s="196"/>
      <c r="AW794" s="85">
        <v>11.451000000000001</v>
      </c>
      <c r="AX794" s="85"/>
      <c r="AY794" s="39"/>
      <c r="AZ794" s="7">
        <v>191.1</v>
      </c>
      <c r="BA794" s="62"/>
      <c r="BB794" s="7">
        <v>2</v>
      </c>
      <c r="BC794" s="85">
        <v>17.8</v>
      </c>
      <c r="BD794" s="85">
        <v>188.1</v>
      </c>
      <c r="BE794" s="85">
        <v>7.1</v>
      </c>
      <c r="BF794" s="39"/>
      <c r="BG794" s="7"/>
      <c r="BH794" s="62"/>
      <c r="BI794" s="7"/>
      <c r="BJ794" s="32"/>
      <c r="BK794" s="256"/>
    </row>
    <row r="795" spans="1:63" ht="23.25" customHeight="1" thickBot="1" x14ac:dyDescent="0.25">
      <c r="A795" s="7">
        <v>794</v>
      </c>
      <c r="B795" s="222"/>
      <c r="C795" s="222"/>
      <c r="D795" s="224"/>
      <c r="E795" s="54" t="s">
        <v>489</v>
      </c>
      <c r="F795" s="16">
        <v>83.136593591905566</v>
      </c>
      <c r="G795" s="8">
        <v>9.8369870713884193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17">
        <v>0</v>
      </c>
      <c r="T795" s="8">
        <v>7.0264193367060148</v>
      </c>
      <c r="U795" s="8">
        <v>0</v>
      </c>
      <c r="V795" s="8">
        <v>0</v>
      </c>
      <c r="W795" s="8">
        <v>0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0</v>
      </c>
      <c r="AD795" s="14">
        <f t="shared" si="49"/>
        <v>100</v>
      </c>
      <c r="AE795" s="8">
        <v>0</v>
      </c>
      <c r="AF795" s="8">
        <v>0</v>
      </c>
      <c r="AG795" s="8">
        <v>0</v>
      </c>
      <c r="AH795" s="8">
        <v>0</v>
      </c>
      <c r="AI795" s="39" t="s">
        <v>1531</v>
      </c>
      <c r="AJ795" s="7"/>
      <c r="AK795" s="62"/>
      <c r="AL795" s="158"/>
      <c r="AM795" s="85"/>
      <c r="AN795" s="85"/>
      <c r="AO795" s="85"/>
      <c r="AP795" s="85"/>
      <c r="AQ795" s="85"/>
      <c r="AR795" s="85"/>
      <c r="AS795" s="85"/>
      <c r="AT795" s="205"/>
      <c r="AU795" s="85"/>
      <c r="AV795" s="196"/>
      <c r="AW795" s="85">
        <v>11.454000000000001</v>
      </c>
      <c r="AX795" s="85"/>
      <c r="AY795" s="39"/>
      <c r="AZ795" s="7">
        <v>191.5</v>
      </c>
      <c r="BA795" s="62"/>
      <c r="BB795" s="7">
        <v>2</v>
      </c>
      <c r="BC795" s="85">
        <v>24.7</v>
      </c>
      <c r="BD795" s="85">
        <v>189</v>
      </c>
      <c r="BE795" s="85">
        <v>4.5999999999999996</v>
      </c>
      <c r="BF795" s="39"/>
      <c r="BG795" s="7"/>
      <c r="BH795" s="62"/>
      <c r="BI795" s="7"/>
      <c r="BJ795" s="32"/>
      <c r="BK795" s="256"/>
    </row>
    <row r="796" spans="1:63" s="4" customFormat="1" ht="23.25" customHeight="1" thickBot="1" x14ac:dyDescent="0.25">
      <c r="A796" s="62">
        <v>795</v>
      </c>
      <c r="B796" s="238">
        <v>900</v>
      </c>
      <c r="C796" s="238" t="s">
        <v>1856</v>
      </c>
      <c r="D796" s="12" t="s">
        <v>196</v>
      </c>
      <c r="E796" s="12"/>
      <c r="F796" s="87">
        <f>11.48/14*100</f>
        <v>82</v>
      </c>
      <c r="G796" s="88">
        <f>1.4/14*100</f>
        <v>10</v>
      </c>
      <c r="H796" s="88">
        <v>0</v>
      </c>
      <c r="I796" s="88">
        <v>0</v>
      </c>
      <c r="J796" s="88">
        <v>0</v>
      </c>
      <c r="K796" s="88">
        <v>0</v>
      </c>
      <c r="L796" s="88">
        <v>0</v>
      </c>
      <c r="M796" s="88">
        <v>0</v>
      </c>
      <c r="N796" s="88">
        <v>0</v>
      </c>
      <c r="O796" s="88">
        <v>0</v>
      </c>
      <c r="P796" s="88">
        <f>0.12/14*100</f>
        <v>0.85714285714285721</v>
      </c>
      <c r="Q796" s="88">
        <v>0</v>
      </c>
      <c r="R796" s="88">
        <v>0</v>
      </c>
      <c r="S796" s="89">
        <v>0</v>
      </c>
      <c r="T796" s="88">
        <f>0.7/14*100</f>
        <v>5</v>
      </c>
      <c r="U796" s="88">
        <v>0</v>
      </c>
      <c r="V796" s="88">
        <f>0.3/14*100</f>
        <v>2.1428571428571428</v>
      </c>
      <c r="W796" s="88">
        <v>0</v>
      </c>
      <c r="X796" s="88">
        <v>0</v>
      </c>
      <c r="Y796" s="88">
        <v>0</v>
      </c>
      <c r="Z796" s="88">
        <v>0</v>
      </c>
      <c r="AA796" s="88">
        <v>0</v>
      </c>
      <c r="AB796" s="88">
        <v>0</v>
      </c>
      <c r="AC796" s="88">
        <v>0</v>
      </c>
      <c r="AD796" s="90">
        <f t="shared" si="49"/>
        <v>100</v>
      </c>
      <c r="AE796" s="88">
        <v>0</v>
      </c>
      <c r="AF796" s="88">
        <v>0</v>
      </c>
      <c r="AG796" s="88">
        <v>0</v>
      </c>
      <c r="AH796" s="88">
        <v>0</v>
      </c>
      <c r="AI796" s="156" t="s">
        <v>1529</v>
      </c>
      <c r="AJ796" s="45">
        <v>20</v>
      </c>
      <c r="AK796" s="91">
        <v>1393</v>
      </c>
      <c r="AL796" s="197"/>
      <c r="AM796" s="189"/>
      <c r="AN796" s="189"/>
      <c r="AO796" s="189"/>
      <c r="AP796" s="189"/>
      <c r="AQ796" s="189"/>
      <c r="AR796" s="189"/>
      <c r="AS796" s="189"/>
      <c r="AT796" s="198"/>
      <c r="AU796" s="189"/>
      <c r="AV796" s="199"/>
      <c r="AW796" s="189"/>
      <c r="AX796" s="189"/>
      <c r="AY796" s="156"/>
      <c r="AZ796" s="45">
        <v>133</v>
      </c>
      <c r="BA796" s="91"/>
      <c r="BB796" s="45"/>
      <c r="BC796" s="45"/>
      <c r="BD796" s="45"/>
      <c r="BE796" s="45"/>
      <c r="BF796" s="156"/>
      <c r="BG796" s="45"/>
      <c r="BH796" s="91"/>
      <c r="BI796" s="45"/>
      <c r="BJ796" s="67"/>
      <c r="BK796" s="256"/>
    </row>
    <row r="797" spans="1:63" s="6" customFormat="1" ht="23.25" customHeight="1" thickBot="1" x14ac:dyDescent="0.25">
      <c r="A797" s="7">
        <v>796</v>
      </c>
      <c r="B797" s="222"/>
      <c r="C797" s="222"/>
      <c r="D797" s="13" t="s">
        <v>195</v>
      </c>
      <c r="E797" s="13"/>
      <c r="F797" s="80">
        <f>11.48/14*100</f>
        <v>82</v>
      </c>
      <c r="G797" s="81">
        <f>1.4/14*100</f>
        <v>10</v>
      </c>
      <c r="H797" s="81">
        <v>0</v>
      </c>
      <c r="I797" s="81">
        <v>0</v>
      </c>
      <c r="J797" s="81">
        <v>0</v>
      </c>
      <c r="K797" s="81">
        <v>0</v>
      </c>
      <c r="L797" s="81">
        <v>0</v>
      </c>
      <c r="M797" s="81">
        <v>0</v>
      </c>
      <c r="N797" s="81">
        <v>0</v>
      </c>
      <c r="O797" s="81">
        <v>0</v>
      </c>
      <c r="P797" s="81">
        <f>0.12/14*100</f>
        <v>0.85714285714285721</v>
      </c>
      <c r="Q797" s="81">
        <v>0</v>
      </c>
      <c r="R797" s="81">
        <v>0</v>
      </c>
      <c r="S797" s="82">
        <v>0</v>
      </c>
      <c r="T797" s="81">
        <f>0.7/14*100</f>
        <v>5</v>
      </c>
      <c r="U797" s="81">
        <v>0</v>
      </c>
      <c r="V797" s="81">
        <f>0.3/14*100</f>
        <v>2.1428571428571428</v>
      </c>
      <c r="W797" s="81">
        <v>0</v>
      </c>
      <c r="X797" s="81">
        <v>0</v>
      </c>
      <c r="Y797" s="81">
        <v>0</v>
      </c>
      <c r="Z797" s="81">
        <v>0</v>
      </c>
      <c r="AA797" s="81">
        <v>0</v>
      </c>
      <c r="AB797" s="81">
        <v>0</v>
      </c>
      <c r="AC797" s="81">
        <v>0</v>
      </c>
      <c r="AD797" s="83">
        <f t="shared" si="49"/>
        <v>100</v>
      </c>
      <c r="AE797" s="81">
        <f>1.8/14*100</f>
        <v>12.857142857142859</v>
      </c>
      <c r="AF797" s="81">
        <v>0</v>
      </c>
      <c r="AG797" s="81">
        <v>0</v>
      </c>
      <c r="AH797" s="81">
        <v>0</v>
      </c>
      <c r="AI797" s="79" t="s">
        <v>1529</v>
      </c>
      <c r="AJ797" s="65">
        <v>20</v>
      </c>
      <c r="AK797" s="78">
        <v>1393</v>
      </c>
      <c r="AL797" s="200"/>
      <c r="AM797" s="190">
        <v>4.9000000000000004</v>
      </c>
      <c r="AN797" s="190"/>
      <c r="AO797" s="190"/>
      <c r="AP797" s="190"/>
      <c r="AQ797" s="190"/>
      <c r="AR797" s="190"/>
      <c r="AS797" s="190"/>
      <c r="AT797" s="201"/>
      <c r="AU797" s="190">
        <v>0</v>
      </c>
      <c r="AV797" s="202">
        <f>SUM(AL797:AT797)</f>
        <v>4.9000000000000004</v>
      </c>
      <c r="AW797" s="190"/>
      <c r="AX797" s="190"/>
      <c r="AY797" s="79"/>
      <c r="AZ797" s="65">
        <v>299.5</v>
      </c>
      <c r="BA797" s="78"/>
      <c r="BB797" s="65">
        <v>2</v>
      </c>
      <c r="BC797" s="65">
        <v>14.5</v>
      </c>
      <c r="BD797" s="65"/>
      <c r="BE797" s="65"/>
      <c r="BF797" s="79"/>
      <c r="BG797" s="65"/>
      <c r="BH797" s="78"/>
      <c r="BI797" s="65"/>
      <c r="BJ797" s="68"/>
      <c r="BK797" s="256"/>
    </row>
    <row r="798" spans="1:63" ht="23.25" customHeight="1" thickBot="1" x14ac:dyDescent="0.25">
      <c r="A798" s="62">
        <v>797</v>
      </c>
      <c r="B798" s="238">
        <v>902</v>
      </c>
      <c r="C798" s="238" t="s">
        <v>1857</v>
      </c>
      <c r="D798" s="225" t="s">
        <v>197</v>
      </c>
      <c r="E798" s="54"/>
      <c r="F798" s="16">
        <f>12.01/(1+12.01+0.14+1.09)*100</f>
        <v>84.339887640449433</v>
      </c>
      <c r="G798" s="8">
        <f>1.09/(1+12.01+0.14+1.09)*100</f>
        <v>7.6544943820224729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f>0.14/(1+12.01+0.14+1.09)*100</f>
        <v>0.98314606741573052</v>
      </c>
      <c r="Q798" s="8">
        <v>0</v>
      </c>
      <c r="R798" s="8">
        <v>0</v>
      </c>
      <c r="S798" s="17">
        <v>0</v>
      </c>
      <c r="T798" s="8">
        <f>1/(1+12.01+0.14+1.09)*100</f>
        <v>7.02247191011236</v>
      </c>
      <c r="U798" s="8">
        <v>0</v>
      </c>
      <c r="V798" s="8">
        <v>0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  <c r="AD798" s="14">
        <f t="shared" si="49"/>
        <v>100</v>
      </c>
      <c r="AE798" s="8">
        <v>0</v>
      </c>
      <c r="AF798" s="8">
        <v>0</v>
      </c>
      <c r="AG798" s="8">
        <v>0</v>
      </c>
      <c r="AH798" s="8">
        <v>0</v>
      </c>
      <c r="AI798" s="39" t="s">
        <v>1531</v>
      </c>
      <c r="AJ798" s="7">
        <v>168</v>
      </c>
      <c r="AK798" s="62">
        <v>1373</v>
      </c>
      <c r="AL798" s="158">
        <v>89</v>
      </c>
      <c r="AM798" s="85"/>
      <c r="AN798" s="85"/>
      <c r="AO798" s="85"/>
      <c r="AP798" s="85"/>
      <c r="AQ798" s="85"/>
      <c r="AR798" s="85"/>
      <c r="AS798" s="85"/>
      <c r="AT798" s="205"/>
      <c r="AU798" s="85">
        <v>0</v>
      </c>
      <c r="AV798" s="196">
        <f>SUM(AL798:AT798)</f>
        <v>89</v>
      </c>
      <c r="AW798" s="85"/>
      <c r="AX798" s="85"/>
      <c r="AY798" s="39"/>
      <c r="AZ798" s="7">
        <v>170</v>
      </c>
      <c r="BA798" s="62">
        <v>1.3</v>
      </c>
      <c r="BB798" s="7">
        <v>2</v>
      </c>
      <c r="BC798" s="85">
        <v>20.399999999999999</v>
      </c>
      <c r="BD798" s="7">
        <v>176.9</v>
      </c>
      <c r="BE798" s="7">
        <v>11</v>
      </c>
      <c r="BF798" s="39"/>
      <c r="BG798" s="7"/>
      <c r="BH798" s="62"/>
      <c r="BI798" s="7"/>
      <c r="BJ798" s="32"/>
      <c r="BK798" s="256"/>
    </row>
    <row r="799" spans="1:63" ht="23.25" customHeight="1" thickBot="1" x14ac:dyDescent="0.25">
      <c r="A799" s="7">
        <v>798</v>
      </c>
      <c r="B799" s="221"/>
      <c r="C799" s="221"/>
      <c r="D799" s="223"/>
      <c r="E799" s="54"/>
      <c r="F799" s="16">
        <f>11.69/(1+11.69+0.24+1.18+0.204)*100</f>
        <v>81.668296772390661</v>
      </c>
      <c r="G799" s="8">
        <f>1.18/(1+11.69+0.24+1.18+0.204)*100</f>
        <v>8.2436775185133424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f>0.204/(1+11.69+0.24+1.18+0.204)*100</f>
        <v>1.4251781472684084</v>
      </c>
      <c r="O799" s="8">
        <v>0</v>
      </c>
      <c r="P799" s="8">
        <f>0.24/(1+11.69+0.24+1.18+0.204)*100</f>
        <v>1.6766801732569514</v>
      </c>
      <c r="Q799" s="8">
        <v>0</v>
      </c>
      <c r="R799" s="8">
        <v>0</v>
      </c>
      <c r="S799" s="17">
        <v>0</v>
      </c>
      <c r="T799" s="8">
        <f>1/(1+11.69+0.24+1.18+0.204)*100</f>
        <v>6.9861673885706299</v>
      </c>
      <c r="U799" s="8">
        <v>0</v>
      </c>
      <c r="V799" s="8">
        <v>0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14">
        <f t="shared" si="49"/>
        <v>100</v>
      </c>
      <c r="AE799" s="8">
        <v>0</v>
      </c>
      <c r="AF799" s="8">
        <v>0</v>
      </c>
      <c r="AG799" s="8">
        <v>0</v>
      </c>
      <c r="AH799" s="8">
        <v>0</v>
      </c>
      <c r="AI799" s="39" t="s">
        <v>1529</v>
      </c>
      <c r="AJ799" s="7">
        <v>24</v>
      </c>
      <c r="AK799" s="62">
        <v>1373</v>
      </c>
      <c r="AL799" s="158">
        <v>78</v>
      </c>
      <c r="AM799" s="85"/>
      <c r="AN799" s="85"/>
      <c r="AO799" s="85"/>
      <c r="AP799" s="85"/>
      <c r="AQ799" s="85"/>
      <c r="AR799" s="85"/>
      <c r="AS799" s="85"/>
      <c r="AT799" s="205"/>
      <c r="AU799" s="85">
        <v>0</v>
      </c>
      <c r="AV799" s="196">
        <f>SUM(AL799:AT799)</f>
        <v>78</v>
      </c>
      <c r="AW799" s="85"/>
      <c r="AX799" s="85"/>
      <c r="AY799" s="39"/>
      <c r="AZ799" s="7">
        <v>186</v>
      </c>
      <c r="BA799" s="62"/>
      <c r="BB799" s="7">
        <v>2</v>
      </c>
      <c r="BC799" s="85">
        <v>7.5</v>
      </c>
      <c r="BD799" s="7">
        <v>189</v>
      </c>
      <c r="BE799" s="7">
        <v>16.399999999999999</v>
      </c>
      <c r="BF799" s="39"/>
      <c r="BG799" s="7"/>
      <c r="BH799" s="62"/>
      <c r="BI799" s="7"/>
      <c r="BJ799" s="32"/>
      <c r="BK799" s="256"/>
    </row>
    <row r="800" spans="1:63" ht="23.25" customHeight="1" thickBot="1" x14ac:dyDescent="0.25">
      <c r="A800" s="62">
        <v>799</v>
      </c>
      <c r="B800" s="222"/>
      <c r="C800" s="222"/>
      <c r="D800" s="224"/>
      <c r="E800" s="54"/>
      <c r="F800" s="16">
        <f>12.32/(1+12.32+0.18+1.35)*100</f>
        <v>82.962962962962976</v>
      </c>
      <c r="G800" s="8">
        <f>1.35/(1+12.32+0.18+1.35)*100</f>
        <v>9.0909090909090917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f>0.18/(1+12.32+0.18+1.35)*100</f>
        <v>1.2121212121212122</v>
      </c>
      <c r="Q800" s="8">
        <v>0</v>
      </c>
      <c r="R800" s="8">
        <v>0</v>
      </c>
      <c r="S800" s="17">
        <v>0</v>
      </c>
      <c r="T800" s="8">
        <f>1/(1+12.32+0.18+1.35)*100</f>
        <v>6.7340067340067336</v>
      </c>
      <c r="U800" s="8">
        <v>0</v>
      </c>
      <c r="V800" s="8">
        <v>0</v>
      </c>
      <c r="W800" s="8">
        <v>0</v>
      </c>
      <c r="X800" s="8">
        <v>0</v>
      </c>
      <c r="Y800" s="8">
        <v>0</v>
      </c>
      <c r="Z800" s="8">
        <v>0</v>
      </c>
      <c r="AA800" s="8">
        <v>0</v>
      </c>
      <c r="AB800" s="8">
        <v>0</v>
      </c>
      <c r="AC800" s="8">
        <v>0</v>
      </c>
      <c r="AD800" s="14">
        <f t="shared" si="49"/>
        <v>100.00000000000003</v>
      </c>
      <c r="AE800" s="8">
        <v>0</v>
      </c>
      <c r="AF800" s="8">
        <v>0</v>
      </c>
      <c r="AG800" s="8">
        <v>0</v>
      </c>
      <c r="AH800" s="8">
        <v>0</v>
      </c>
      <c r="AI800" s="39" t="s">
        <v>1530</v>
      </c>
      <c r="AJ800" s="7">
        <v>72</v>
      </c>
      <c r="AK800" s="62">
        <v>1373</v>
      </c>
      <c r="AL800" s="158">
        <v>86</v>
      </c>
      <c r="AM800" s="85"/>
      <c r="AN800" s="85"/>
      <c r="AO800" s="85"/>
      <c r="AP800" s="85"/>
      <c r="AQ800" s="85"/>
      <c r="AR800" s="85"/>
      <c r="AS800" s="85"/>
      <c r="AT800" s="205"/>
      <c r="AU800" s="85">
        <v>0</v>
      </c>
      <c r="AV800" s="196">
        <f>SUM(AL800:AT800)</f>
        <v>86</v>
      </c>
      <c r="AW800" s="85"/>
      <c r="AX800" s="85"/>
      <c r="AY800" s="39"/>
      <c r="AZ800" s="7">
        <v>175</v>
      </c>
      <c r="BA800" s="62">
        <v>1.1000000000000001</v>
      </c>
      <c r="BB800" s="7">
        <v>2</v>
      </c>
      <c r="BC800" s="85">
        <v>10.5</v>
      </c>
      <c r="BD800" s="7">
        <v>178.6</v>
      </c>
      <c r="BE800" s="7">
        <v>14.9</v>
      </c>
      <c r="BF800" s="39"/>
      <c r="BG800" s="7"/>
      <c r="BH800" s="62"/>
      <c r="BI800" s="7"/>
      <c r="BJ800" s="32"/>
      <c r="BK800" s="256"/>
    </row>
    <row r="801" spans="1:63" s="4" customFormat="1" ht="23.25" customHeight="1" thickBot="1" x14ac:dyDescent="0.25">
      <c r="A801" s="7">
        <v>800</v>
      </c>
      <c r="B801" s="238">
        <v>904</v>
      </c>
      <c r="C801" s="238" t="s">
        <v>1858</v>
      </c>
      <c r="D801" s="12" t="s">
        <v>198</v>
      </c>
      <c r="E801" s="12"/>
      <c r="F801" s="87">
        <f>11.74/14*100</f>
        <v>83.857142857142861</v>
      </c>
      <c r="G801" s="88">
        <f>1.2/14*100</f>
        <v>8.5714285714285712</v>
      </c>
      <c r="H801" s="88">
        <v>0</v>
      </c>
      <c r="I801" s="88">
        <v>0</v>
      </c>
      <c r="J801" s="88">
        <v>0</v>
      </c>
      <c r="K801" s="88">
        <v>0</v>
      </c>
      <c r="L801" s="88">
        <v>0</v>
      </c>
      <c r="M801" s="88">
        <v>0</v>
      </c>
      <c r="N801" s="88">
        <v>0</v>
      </c>
      <c r="O801" s="88">
        <v>0</v>
      </c>
      <c r="P801" s="88">
        <f>0.06/14*100</f>
        <v>0.4285714285714286</v>
      </c>
      <c r="Q801" s="88">
        <v>0</v>
      </c>
      <c r="R801" s="88">
        <v>0</v>
      </c>
      <c r="S801" s="89">
        <v>0</v>
      </c>
      <c r="T801" s="88">
        <f t="shared" ref="T801:T803" si="54">1/14*100</f>
        <v>7.1428571428571423</v>
      </c>
      <c r="U801" s="88">
        <v>0</v>
      </c>
      <c r="V801" s="88">
        <v>0</v>
      </c>
      <c r="W801" s="88">
        <v>0</v>
      </c>
      <c r="X801" s="88">
        <v>0</v>
      </c>
      <c r="Y801" s="88">
        <v>0</v>
      </c>
      <c r="Z801" s="88">
        <v>0</v>
      </c>
      <c r="AA801" s="88">
        <v>0</v>
      </c>
      <c r="AB801" s="88">
        <v>0</v>
      </c>
      <c r="AC801" s="88">
        <v>0</v>
      </c>
      <c r="AD801" s="90">
        <f t="shared" si="49"/>
        <v>100</v>
      </c>
      <c r="AE801" s="88">
        <v>0</v>
      </c>
      <c r="AF801" s="88">
        <v>0</v>
      </c>
      <c r="AG801" s="88">
        <v>0</v>
      </c>
      <c r="AH801" s="88">
        <v>0</v>
      </c>
      <c r="AI801" s="156" t="s">
        <v>1531</v>
      </c>
      <c r="AJ801" s="45"/>
      <c r="AK801" s="91"/>
      <c r="AL801" s="197"/>
      <c r="AM801" s="189"/>
      <c r="AN801" s="189"/>
      <c r="AO801" s="189"/>
      <c r="AP801" s="189"/>
      <c r="AQ801" s="189"/>
      <c r="AR801" s="189"/>
      <c r="AS801" s="189"/>
      <c r="AT801" s="198"/>
      <c r="AU801" s="189"/>
      <c r="AV801" s="199"/>
      <c r="AW801" s="189"/>
      <c r="AX801" s="189"/>
      <c r="AY801" s="156">
        <v>1</v>
      </c>
      <c r="AZ801" s="45">
        <v>180.3</v>
      </c>
      <c r="BA801" s="91">
        <v>3</v>
      </c>
      <c r="BB801" s="45" t="s">
        <v>789</v>
      </c>
      <c r="BC801" s="45" t="s">
        <v>1121</v>
      </c>
      <c r="BD801" s="45" t="s">
        <v>1123</v>
      </c>
      <c r="BE801" s="45"/>
      <c r="BF801" s="156"/>
      <c r="BG801" s="45"/>
      <c r="BH801" s="91"/>
      <c r="BI801" s="45"/>
      <c r="BJ801" s="67"/>
      <c r="BK801" s="256"/>
    </row>
    <row r="802" spans="1:63" s="6" customFormat="1" ht="23.25" customHeight="1" thickBot="1" x14ac:dyDescent="0.25">
      <c r="A802" s="62">
        <v>801</v>
      </c>
      <c r="B802" s="222"/>
      <c r="C802" s="222"/>
      <c r="D802" s="13" t="s">
        <v>60</v>
      </c>
      <c r="E802" s="13"/>
      <c r="F802" s="80">
        <f>11.74/14*100</f>
        <v>83.857142857142861</v>
      </c>
      <c r="G802" s="81">
        <f>1.2/14*100</f>
        <v>8.5714285714285712</v>
      </c>
      <c r="H802" s="81">
        <v>0</v>
      </c>
      <c r="I802" s="81">
        <v>0</v>
      </c>
      <c r="J802" s="81">
        <v>0</v>
      </c>
      <c r="K802" s="81">
        <v>0</v>
      </c>
      <c r="L802" s="81">
        <v>0</v>
      </c>
      <c r="M802" s="81">
        <v>0</v>
      </c>
      <c r="N802" s="81">
        <v>0</v>
      </c>
      <c r="O802" s="81">
        <v>0</v>
      </c>
      <c r="P802" s="81">
        <f>0.06/14*100</f>
        <v>0.4285714285714286</v>
      </c>
      <c r="Q802" s="81">
        <v>0</v>
      </c>
      <c r="R802" s="81">
        <v>0</v>
      </c>
      <c r="S802" s="82">
        <v>0</v>
      </c>
      <c r="T802" s="81">
        <f t="shared" si="54"/>
        <v>7.1428571428571423</v>
      </c>
      <c r="U802" s="81">
        <v>0</v>
      </c>
      <c r="V802" s="81">
        <v>0</v>
      </c>
      <c r="W802" s="81">
        <v>0</v>
      </c>
      <c r="X802" s="81">
        <v>0</v>
      </c>
      <c r="Y802" s="81">
        <v>0</v>
      </c>
      <c r="Z802" s="81">
        <v>0</v>
      </c>
      <c r="AA802" s="81">
        <v>0</v>
      </c>
      <c r="AB802" s="81">
        <v>0</v>
      </c>
      <c r="AC802" s="81">
        <v>0</v>
      </c>
      <c r="AD802" s="83">
        <f t="shared" si="49"/>
        <v>100</v>
      </c>
      <c r="AE802" s="81">
        <f>1.65/14*100</f>
        <v>11.785714285714285</v>
      </c>
      <c r="AF802" s="81">
        <v>0</v>
      </c>
      <c r="AG802" s="81">
        <v>0</v>
      </c>
      <c r="AH802" s="81">
        <v>0</v>
      </c>
      <c r="AI802" s="79" t="s">
        <v>1531</v>
      </c>
      <c r="AJ802" s="65"/>
      <c r="AK802" s="78"/>
      <c r="AL802" s="200"/>
      <c r="AM802" s="190"/>
      <c r="AN802" s="190"/>
      <c r="AO802" s="190"/>
      <c r="AP802" s="190"/>
      <c r="AQ802" s="190"/>
      <c r="AR802" s="190"/>
      <c r="AS802" s="190"/>
      <c r="AT802" s="201"/>
      <c r="AU802" s="190"/>
      <c r="AV802" s="202"/>
      <c r="AW802" s="190"/>
      <c r="AX802" s="190"/>
      <c r="AY802" s="79">
        <v>1</v>
      </c>
      <c r="AZ802" s="65">
        <v>342</v>
      </c>
      <c r="BA802" s="78">
        <v>1.9</v>
      </c>
      <c r="BB802" s="65" t="s">
        <v>789</v>
      </c>
      <c r="BC802" s="65" t="s">
        <v>1122</v>
      </c>
      <c r="BD802" s="65" t="s">
        <v>1124</v>
      </c>
      <c r="BE802" s="65"/>
      <c r="BF802" s="79"/>
      <c r="BG802" s="65"/>
      <c r="BH802" s="78"/>
      <c r="BI802" s="65"/>
      <c r="BJ802" s="68"/>
      <c r="BK802" s="256"/>
    </row>
    <row r="803" spans="1:63" ht="23.25" customHeight="1" thickBot="1" x14ac:dyDescent="0.25">
      <c r="A803" s="7">
        <v>802</v>
      </c>
      <c r="B803" s="238">
        <v>906</v>
      </c>
      <c r="C803" s="238" t="s">
        <v>1859</v>
      </c>
      <c r="D803" s="54" t="s">
        <v>199</v>
      </c>
      <c r="E803" s="54"/>
      <c r="F803" s="16">
        <f t="shared" ref="F803:F811" si="55">11.5/14*100</f>
        <v>82.142857142857139</v>
      </c>
      <c r="G803" s="8">
        <f t="shared" ref="G803:G811" si="56">1.5/14*100</f>
        <v>10.714285714285714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17">
        <v>0</v>
      </c>
      <c r="T803" s="8">
        <f t="shared" si="54"/>
        <v>7.1428571428571423</v>
      </c>
      <c r="U803" s="8">
        <v>0</v>
      </c>
      <c r="V803" s="8">
        <v>0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14">
        <f t="shared" si="49"/>
        <v>99.999999999999986</v>
      </c>
      <c r="AE803" s="8">
        <v>0</v>
      </c>
      <c r="AF803" s="8">
        <v>0</v>
      </c>
      <c r="AG803" s="8">
        <v>0</v>
      </c>
      <c r="AH803" s="8">
        <f>0.2/14*100</f>
        <v>1.4285714285714286</v>
      </c>
      <c r="AI803" s="39" t="s">
        <v>1531</v>
      </c>
      <c r="AJ803" s="7">
        <v>504</v>
      </c>
      <c r="AK803" s="62">
        <v>1393</v>
      </c>
      <c r="AL803" s="158"/>
      <c r="AM803" s="85"/>
      <c r="AN803" s="85"/>
      <c r="AO803" s="85"/>
      <c r="AP803" s="85"/>
      <c r="AQ803" s="85"/>
      <c r="AR803" s="85"/>
      <c r="AS803" s="85"/>
      <c r="AT803" s="205"/>
      <c r="AU803" s="85"/>
      <c r="AV803" s="196"/>
      <c r="AW803" s="85"/>
      <c r="AX803" s="85"/>
      <c r="AY803" s="39">
        <v>0.01</v>
      </c>
      <c r="AZ803" s="7">
        <v>200</v>
      </c>
      <c r="BA803" s="62">
        <v>6</v>
      </c>
      <c r="BB803" s="7">
        <v>3</v>
      </c>
      <c r="BC803" s="7">
        <v>13</v>
      </c>
      <c r="BD803" s="7"/>
      <c r="BE803" s="7"/>
      <c r="BF803" s="39"/>
      <c r="BG803" s="7"/>
      <c r="BH803" s="62"/>
      <c r="BI803" s="7"/>
      <c r="BJ803" s="32"/>
      <c r="BK803" s="256"/>
    </row>
    <row r="804" spans="1:63" ht="23.25" customHeight="1" thickBot="1" x14ac:dyDescent="0.25">
      <c r="A804" s="62">
        <v>803</v>
      </c>
      <c r="B804" s="222"/>
      <c r="C804" s="222"/>
      <c r="D804" s="54" t="s">
        <v>200</v>
      </c>
      <c r="E804" s="54"/>
      <c r="F804" s="16">
        <f t="shared" si="55"/>
        <v>82.142857142857139</v>
      </c>
      <c r="G804" s="8">
        <f t="shared" si="56"/>
        <v>10.714285714285714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17">
        <v>0</v>
      </c>
      <c r="T804" s="8">
        <f>0.7/14*100</f>
        <v>5</v>
      </c>
      <c r="U804" s="8">
        <v>0</v>
      </c>
      <c r="V804" s="8">
        <v>0</v>
      </c>
      <c r="W804" s="8">
        <f>0.3/14*100</f>
        <v>2.1428571428571428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14">
        <f t="shared" si="49"/>
        <v>99.999999999999986</v>
      </c>
      <c r="AE804" s="8">
        <v>0</v>
      </c>
      <c r="AF804" s="8">
        <v>0</v>
      </c>
      <c r="AG804" s="8">
        <v>0</v>
      </c>
      <c r="AH804" s="8">
        <f>0.2/14*100</f>
        <v>1.4285714285714286</v>
      </c>
      <c r="AI804" s="39" t="s">
        <v>1531</v>
      </c>
      <c r="AJ804" s="7">
        <v>504</v>
      </c>
      <c r="AK804" s="62">
        <v>1393</v>
      </c>
      <c r="AL804" s="158"/>
      <c r="AM804" s="85">
        <v>0</v>
      </c>
      <c r="AN804" s="85"/>
      <c r="AO804" s="85"/>
      <c r="AP804" s="85"/>
      <c r="AQ804" s="85"/>
      <c r="AR804" s="85"/>
      <c r="AS804" s="85"/>
      <c r="AT804" s="205"/>
      <c r="AU804" s="85"/>
      <c r="AV804" s="196">
        <f>SUM(AL804:AT804)</f>
        <v>0</v>
      </c>
      <c r="AW804" s="85"/>
      <c r="AX804" s="85"/>
      <c r="AY804" s="39">
        <v>0.01</v>
      </c>
      <c r="AZ804" s="7">
        <v>190</v>
      </c>
      <c r="BA804" s="62">
        <v>6</v>
      </c>
      <c r="BB804" s="7">
        <v>3</v>
      </c>
      <c r="BC804" s="7">
        <v>17.899999999999999</v>
      </c>
      <c r="BD804" s="7"/>
      <c r="BE804" s="7"/>
      <c r="BF804" s="39"/>
      <c r="BG804" s="7"/>
      <c r="BH804" s="62"/>
      <c r="BI804" s="7"/>
      <c r="BJ804" s="32"/>
      <c r="BK804" s="256"/>
    </row>
    <row r="805" spans="1:63" s="4" customFormat="1" ht="23.25" customHeight="1" thickBot="1" x14ac:dyDescent="0.25">
      <c r="A805" s="7">
        <v>804</v>
      </c>
      <c r="B805" s="238">
        <v>907</v>
      </c>
      <c r="C805" s="238" t="s">
        <v>1860</v>
      </c>
      <c r="D805" s="225" t="s">
        <v>201</v>
      </c>
      <c r="E805" s="12"/>
      <c r="F805" s="87">
        <f t="shared" si="55"/>
        <v>82.142857142857139</v>
      </c>
      <c r="G805" s="88">
        <f t="shared" si="56"/>
        <v>10.714285714285714</v>
      </c>
      <c r="H805" s="88">
        <v>0</v>
      </c>
      <c r="I805" s="88">
        <v>0</v>
      </c>
      <c r="J805" s="88">
        <v>0</v>
      </c>
      <c r="K805" s="88">
        <v>0</v>
      </c>
      <c r="L805" s="88">
        <v>0</v>
      </c>
      <c r="M805" s="88">
        <v>0</v>
      </c>
      <c r="N805" s="88">
        <v>0</v>
      </c>
      <c r="O805" s="88">
        <v>0</v>
      </c>
      <c r="P805" s="88">
        <v>0</v>
      </c>
      <c r="Q805" s="88">
        <v>0</v>
      </c>
      <c r="R805" s="88">
        <v>0</v>
      </c>
      <c r="S805" s="89">
        <v>0</v>
      </c>
      <c r="T805" s="88">
        <f t="shared" ref="T805:T809" si="57">0.8/14*100</f>
        <v>5.7142857142857144</v>
      </c>
      <c r="U805" s="88">
        <v>0</v>
      </c>
      <c r="V805" s="88">
        <f t="shared" ref="V805:V809" si="58">0.2/14*100</f>
        <v>1.4285714285714286</v>
      </c>
      <c r="W805" s="88">
        <v>0</v>
      </c>
      <c r="X805" s="88">
        <v>0</v>
      </c>
      <c r="Y805" s="88">
        <v>0</v>
      </c>
      <c r="Z805" s="88">
        <v>0</v>
      </c>
      <c r="AA805" s="88">
        <v>0</v>
      </c>
      <c r="AB805" s="88">
        <v>0</v>
      </c>
      <c r="AC805" s="88">
        <v>0</v>
      </c>
      <c r="AD805" s="90">
        <f t="shared" si="49"/>
        <v>99.999999999999986</v>
      </c>
      <c r="AE805" s="88">
        <v>0</v>
      </c>
      <c r="AF805" s="88">
        <v>0</v>
      </c>
      <c r="AG805" s="88">
        <v>0</v>
      </c>
      <c r="AH805" s="88">
        <v>0</v>
      </c>
      <c r="AI805" s="156" t="s">
        <v>1529</v>
      </c>
      <c r="AJ805" s="45">
        <v>0.16600000000000001</v>
      </c>
      <c r="AK805" s="91">
        <v>1273</v>
      </c>
      <c r="AL805" s="197"/>
      <c r="AM805" s="189"/>
      <c r="AN805" s="189"/>
      <c r="AO805" s="189"/>
      <c r="AP805" s="189"/>
      <c r="AQ805" s="189"/>
      <c r="AR805" s="189"/>
      <c r="AS805" s="189"/>
      <c r="AT805" s="198"/>
      <c r="AU805" s="189"/>
      <c r="AV805" s="199"/>
      <c r="AW805" s="189"/>
      <c r="AX805" s="189"/>
      <c r="AY805" s="156">
        <v>0.1</v>
      </c>
      <c r="AZ805" s="45">
        <v>193</v>
      </c>
      <c r="BA805" s="91"/>
      <c r="BB805" s="45">
        <v>1.5</v>
      </c>
      <c r="BC805" s="45">
        <v>9.6999999999999993</v>
      </c>
      <c r="BD805" s="45"/>
      <c r="BE805" s="45"/>
      <c r="BF805" s="156"/>
      <c r="BG805" s="45"/>
      <c r="BH805" s="91"/>
      <c r="BI805" s="45"/>
      <c r="BJ805" s="67">
        <v>1</v>
      </c>
      <c r="BK805" s="256"/>
    </row>
    <row r="806" spans="1:63" ht="23.25" customHeight="1" thickBot="1" x14ac:dyDescent="0.25">
      <c r="A806" s="62">
        <v>805</v>
      </c>
      <c r="B806" s="221"/>
      <c r="C806" s="221"/>
      <c r="D806" s="223"/>
      <c r="E806" s="54"/>
      <c r="F806" s="16">
        <f t="shared" si="55"/>
        <v>82.142857142857139</v>
      </c>
      <c r="G806" s="8">
        <f t="shared" si="56"/>
        <v>10.714285714285714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17">
        <v>0</v>
      </c>
      <c r="T806" s="8">
        <f t="shared" si="57"/>
        <v>5.7142857142857144</v>
      </c>
      <c r="U806" s="8">
        <v>0</v>
      </c>
      <c r="V806" s="8">
        <f t="shared" si="58"/>
        <v>1.4285714285714286</v>
      </c>
      <c r="W806" s="8">
        <v>0</v>
      </c>
      <c r="X806" s="8">
        <v>0</v>
      </c>
      <c r="Y806" s="8">
        <v>0</v>
      </c>
      <c r="Z806" s="8">
        <v>0</v>
      </c>
      <c r="AA806" s="8">
        <v>0</v>
      </c>
      <c r="AB806" s="8">
        <v>0</v>
      </c>
      <c r="AC806" s="8">
        <v>0</v>
      </c>
      <c r="AD806" s="14">
        <f t="shared" si="49"/>
        <v>99.999999999999986</v>
      </c>
      <c r="AE806" s="8">
        <v>0</v>
      </c>
      <c r="AF806" s="8">
        <v>0</v>
      </c>
      <c r="AG806" s="8">
        <v>0</v>
      </c>
      <c r="AH806" s="8">
        <v>0</v>
      </c>
      <c r="AI806" s="39" t="s">
        <v>1529</v>
      </c>
      <c r="AJ806" s="7">
        <v>0.25</v>
      </c>
      <c r="AK806" s="62">
        <v>1273</v>
      </c>
      <c r="AL806" s="158"/>
      <c r="AM806" s="85"/>
      <c r="AN806" s="85"/>
      <c r="AO806" s="85"/>
      <c r="AP806" s="85"/>
      <c r="AQ806" s="85"/>
      <c r="AR806" s="85"/>
      <c r="AS806" s="85"/>
      <c r="AT806" s="205"/>
      <c r="AU806" s="85"/>
      <c r="AV806" s="196"/>
      <c r="AW806" s="85"/>
      <c r="AX806" s="85"/>
      <c r="AY806" s="39">
        <v>0.1</v>
      </c>
      <c r="AZ806" s="7">
        <v>188</v>
      </c>
      <c r="BA806" s="62"/>
      <c r="BB806" s="7">
        <v>1.5</v>
      </c>
      <c r="BC806" s="7">
        <v>23</v>
      </c>
      <c r="BD806" s="7"/>
      <c r="BE806" s="7"/>
      <c r="BF806" s="39"/>
      <c r="BG806" s="7"/>
      <c r="BH806" s="62"/>
      <c r="BI806" s="7"/>
      <c r="BJ806" s="32">
        <v>1</v>
      </c>
      <c r="BK806" s="256"/>
    </row>
    <row r="807" spans="1:63" ht="23.25" customHeight="1" thickBot="1" x14ac:dyDescent="0.25">
      <c r="A807" s="7">
        <v>806</v>
      </c>
      <c r="B807" s="221"/>
      <c r="C807" s="221"/>
      <c r="D807" s="223"/>
      <c r="E807" s="54"/>
      <c r="F807" s="16">
        <f t="shared" si="55"/>
        <v>82.142857142857139</v>
      </c>
      <c r="G807" s="8">
        <f t="shared" si="56"/>
        <v>10.714285714285714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17">
        <v>0</v>
      </c>
      <c r="T807" s="8">
        <f t="shared" si="57"/>
        <v>5.7142857142857144</v>
      </c>
      <c r="U807" s="8">
        <v>0</v>
      </c>
      <c r="V807" s="8">
        <f t="shared" si="58"/>
        <v>1.4285714285714286</v>
      </c>
      <c r="W807" s="8">
        <v>0</v>
      </c>
      <c r="X807" s="8">
        <v>0</v>
      </c>
      <c r="Y807" s="8">
        <v>0</v>
      </c>
      <c r="Z807" s="8">
        <v>0</v>
      </c>
      <c r="AA807" s="8">
        <v>0</v>
      </c>
      <c r="AB807" s="8">
        <v>0</v>
      </c>
      <c r="AC807" s="8">
        <v>0</v>
      </c>
      <c r="AD807" s="14">
        <f t="shared" si="49"/>
        <v>99.999999999999986</v>
      </c>
      <c r="AE807" s="8">
        <v>0</v>
      </c>
      <c r="AF807" s="8">
        <v>0</v>
      </c>
      <c r="AG807" s="8">
        <v>0</v>
      </c>
      <c r="AH807" s="8">
        <v>0</v>
      </c>
      <c r="AI807" s="39" t="s">
        <v>1529</v>
      </c>
      <c r="AJ807" s="7">
        <v>0.33300000000000002</v>
      </c>
      <c r="AK807" s="62">
        <v>1273</v>
      </c>
      <c r="AL807" s="158"/>
      <c r="AM807" s="85"/>
      <c r="AN807" s="85"/>
      <c r="AO807" s="85"/>
      <c r="AP807" s="85"/>
      <c r="AQ807" s="85"/>
      <c r="AR807" s="85"/>
      <c r="AS807" s="85"/>
      <c r="AT807" s="205"/>
      <c r="AU807" s="85"/>
      <c r="AV807" s="196"/>
      <c r="AW807" s="85"/>
      <c r="AX807" s="85"/>
      <c r="AY807" s="39">
        <v>0.1</v>
      </c>
      <c r="AZ807" s="7">
        <v>183</v>
      </c>
      <c r="BA807" s="62"/>
      <c r="BB807" s="7">
        <v>1.5</v>
      </c>
      <c r="BC807" s="7">
        <v>33.799999999999997</v>
      </c>
      <c r="BD807" s="7"/>
      <c r="BE807" s="7"/>
      <c r="BF807" s="39"/>
      <c r="BG807" s="7"/>
      <c r="BH807" s="62"/>
      <c r="BI807" s="7"/>
      <c r="BJ807" s="32">
        <v>1</v>
      </c>
      <c r="BK807" s="256"/>
    </row>
    <row r="808" spans="1:63" ht="23.25" customHeight="1" thickBot="1" x14ac:dyDescent="0.25">
      <c r="A808" s="62">
        <v>807</v>
      </c>
      <c r="B808" s="221"/>
      <c r="C808" s="221"/>
      <c r="D808" s="223"/>
      <c r="E808" s="54"/>
      <c r="F808" s="16">
        <f t="shared" si="55"/>
        <v>82.142857142857139</v>
      </c>
      <c r="G808" s="8">
        <f t="shared" si="56"/>
        <v>10.714285714285714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17">
        <v>0</v>
      </c>
      <c r="T808" s="8">
        <f t="shared" si="57"/>
        <v>5.7142857142857144</v>
      </c>
      <c r="U808" s="8">
        <v>0</v>
      </c>
      <c r="V808" s="8">
        <f t="shared" si="58"/>
        <v>1.4285714285714286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14">
        <f t="shared" si="49"/>
        <v>99.999999999999986</v>
      </c>
      <c r="AE808" s="8">
        <v>0</v>
      </c>
      <c r="AF808" s="8">
        <v>0</v>
      </c>
      <c r="AG808" s="8">
        <v>0</v>
      </c>
      <c r="AH808" s="8">
        <v>0</v>
      </c>
      <c r="AI808" s="39" t="s">
        <v>1529</v>
      </c>
      <c r="AJ808" s="7">
        <v>0.5</v>
      </c>
      <c r="AK808" s="62">
        <v>1273</v>
      </c>
      <c r="AL808" s="158"/>
      <c r="AM808" s="85"/>
      <c r="AN808" s="85"/>
      <c r="AO808" s="85"/>
      <c r="AP808" s="85"/>
      <c r="AQ808" s="85"/>
      <c r="AR808" s="85"/>
      <c r="AS808" s="85"/>
      <c r="AT808" s="205"/>
      <c r="AU808" s="85"/>
      <c r="AV808" s="196"/>
      <c r="AW808" s="85"/>
      <c r="AX808" s="85"/>
      <c r="AY808" s="39">
        <v>0.1</v>
      </c>
      <c r="AZ808" s="7">
        <v>184</v>
      </c>
      <c r="BA808" s="62"/>
      <c r="BB808" s="7">
        <v>1.5</v>
      </c>
      <c r="BC808" s="7">
        <v>31.4</v>
      </c>
      <c r="BD808" s="7"/>
      <c r="BE808" s="7"/>
      <c r="BF808" s="39"/>
      <c r="BG808" s="7"/>
      <c r="BH808" s="62"/>
      <c r="BI808" s="7"/>
      <c r="BJ808" s="32">
        <v>1</v>
      </c>
      <c r="BK808" s="256"/>
    </row>
    <row r="809" spans="1:63" s="6" customFormat="1" ht="23.25" customHeight="1" thickBot="1" x14ac:dyDescent="0.25">
      <c r="A809" s="7">
        <v>808</v>
      </c>
      <c r="B809" s="222"/>
      <c r="C809" s="222"/>
      <c r="D809" s="224"/>
      <c r="E809" s="13"/>
      <c r="F809" s="80">
        <f t="shared" si="55"/>
        <v>82.142857142857139</v>
      </c>
      <c r="G809" s="81">
        <f t="shared" si="56"/>
        <v>10.714285714285714</v>
      </c>
      <c r="H809" s="81">
        <v>0</v>
      </c>
      <c r="I809" s="81">
        <v>0</v>
      </c>
      <c r="J809" s="81">
        <v>0</v>
      </c>
      <c r="K809" s="81">
        <v>0</v>
      </c>
      <c r="L809" s="81">
        <v>0</v>
      </c>
      <c r="M809" s="81">
        <v>0</v>
      </c>
      <c r="N809" s="81">
        <v>0</v>
      </c>
      <c r="O809" s="81">
        <v>0</v>
      </c>
      <c r="P809" s="81">
        <v>0</v>
      </c>
      <c r="Q809" s="81">
        <v>0</v>
      </c>
      <c r="R809" s="81">
        <v>0</v>
      </c>
      <c r="S809" s="82">
        <v>0</v>
      </c>
      <c r="T809" s="81">
        <f t="shared" si="57"/>
        <v>5.7142857142857144</v>
      </c>
      <c r="U809" s="81">
        <v>0</v>
      </c>
      <c r="V809" s="81">
        <f t="shared" si="58"/>
        <v>1.4285714285714286</v>
      </c>
      <c r="W809" s="81">
        <v>0</v>
      </c>
      <c r="X809" s="81">
        <v>0</v>
      </c>
      <c r="Y809" s="81">
        <v>0</v>
      </c>
      <c r="Z809" s="81">
        <v>0</v>
      </c>
      <c r="AA809" s="81">
        <v>0</v>
      </c>
      <c r="AB809" s="81">
        <v>0</v>
      </c>
      <c r="AC809" s="81">
        <v>0</v>
      </c>
      <c r="AD809" s="83">
        <f t="shared" si="49"/>
        <v>99.999999999999986</v>
      </c>
      <c r="AE809" s="81">
        <v>0</v>
      </c>
      <c r="AF809" s="81">
        <v>0</v>
      </c>
      <c r="AG809" s="81">
        <v>0</v>
      </c>
      <c r="AH809" s="81">
        <v>0</v>
      </c>
      <c r="AI809" s="79" t="s">
        <v>1529</v>
      </c>
      <c r="AJ809" s="65">
        <v>1</v>
      </c>
      <c r="AK809" s="78">
        <v>1273</v>
      </c>
      <c r="AL809" s="200"/>
      <c r="AM809" s="190"/>
      <c r="AN809" s="190"/>
      <c r="AO809" s="190"/>
      <c r="AP809" s="190"/>
      <c r="AQ809" s="190"/>
      <c r="AR809" s="190"/>
      <c r="AS809" s="190"/>
      <c r="AT809" s="201"/>
      <c r="AU809" s="190"/>
      <c r="AV809" s="202"/>
      <c r="AW809" s="190"/>
      <c r="AX809" s="190"/>
      <c r="AY809" s="79">
        <v>0.1</v>
      </c>
      <c r="AZ809" s="65">
        <v>183</v>
      </c>
      <c r="BA809" s="78"/>
      <c r="BB809" s="65">
        <v>1.5</v>
      </c>
      <c r="BC809" s="65">
        <v>32.799999999999997</v>
      </c>
      <c r="BD809" s="65"/>
      <c r="BE809" s="65"/>
      <c r="BF809" s="79"/>
      <c r="BG809" s="65"/>
      <c r="BH809" s="78"/>
      <c r="BI809" s="65"/>
      <c r="BJ809" s="68">
        <v>1</v>
      </c>
      <c r="BK809" s="256"/>
    </row>
    <row r="810" spans="1:63" ht="23.25" customHeight="1" thickBot="1" x14ac:dyDescent="0.25">
      <c r="A810" s="62">
        <v>809</v>
      </c>
      <c r="B810" s="238">
        <v>908</v>
      </c>
      <c r="C810" s="238" t="s">
        <v>1861</v>
      </c>
      <c r="D810" s="225" t="s">
        <v>501</v>
      </c>
      <c r="E810" s="54" t="s">
        <v>334</v>
      </c>
      <c r="F810" s="16">
        <f t="shared" si="55"/>
        <v>82.142857142857139</v>
      </c>
      <c r="G810" s="8">
        <f t="shared" si="56"/>
        <v>10.714285714285714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17">
        <v>0</v>
      </c>
      <c r="T810" s="8">
        <f>1/14*100</f>
        <v>7.1428571428571423</v>
      </c>
      <c r="U810" s="8">
        <v>0</v>
      </c>
      <c r="V810" s="8">
        <f>0/14*100</f>
        <v>0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  <c r="AD810" s="14">
        <f t="shared" si="49"/>
        <v>99.999999999999986</v>
      </c>
      <c r="AE810" s="8">
        <v>0</v>
      </c>
      <c r="AF810" s="8">
        <v>0</v>
      </c>
      <c r="AG810" s="8">
        <v>0</v>
      </c>
      <c r="AH810" s="8">
        <v>0</v>
      </c>
      <c r="AI810" s="39" t="s">
        <v>1531</v>
      </c>
      <c r="AJ810" s="64">
        <v>7</v>
      </c>
      <c r="AK810" s="93">
        <v>1480</v>
      </c>
      <c r="AL810" s="158"/>
      <c r="AM810" s="85"/>
      <c r="AN810" s="85"/>
      <c r="AO810" s="85"/>
      <c r="AP810" s="85"/>
      <c r="AQ810" s="85"/>
      <c r="AR810" s="85"/>
      <c r="AS810" s="85"/>
      <c r="AT810" s="205"/>
      <c r="AU810" s="85"/>
      <c r="AV810" s="196"/>
      <c r="AW810" s="85">
        <v>11.472</v>
      </c>
      <c r="AX810" s="85"/>
      <c r="AY810" s="39">
        <v>0.02</v>
      </c>
      <c r="AZ810" s="7">
        <v>196</v>
      </c>
      <c r="BA810" s="62">
        <v>4.0999999999999996</v>
      </c>
      <c r="BB810" s="7">
        <v>2</v>
      </c>
      <c r="BC810" s="7">
        <v>12.8</v>
      </c>
      <c r="BD810" s="7"/>
      <c r="BE810" s="7"/>
      <c r="BF810" s="39"/>
      <c r="BG810" s="7"/>
      <c r="BH810" s="62"/>
      <c r="BI810" s="7"/>
      <c r="BJ810" s="32">
        <v>1</v>
      </c>
      <c r="BK810" s="259" t="s">
        <v>1726</v>
      </c>
    </row>
    <row r="811" spans="1:63" ht="23.25" customHeight="1" thickBot="1" x14ac:dyDescent="0.25">
      <c r="A811" s="7">
        <v>810</v>
      </c>
      <c r="B811" s="221"/>
      <c r="C811" s="221"/>
      <c r="D811" s="223"/>
      <c r="E811" s="54" t="s">
        <v>339</v>
      </c>
      <c r="F811" s="16">
        <f t="shared" si="55"/>
        <v>82.142857142857139</v>
      </c>
      <c r="G811" s="8">
        <f t="shared" si="56"/>
        <v>10.714285714285714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17">
        <v>0</v>
      </c>
      <c r="T811" s="8">
        <f>(1-0.1)/14*100</f>
        <v>6.4285714285714297</v>
      </c>
      <c r="U811" s="8">
        <v>0</v>
      </c>
      <c r="V811" s="8">
        <f>0.1/14*100</f>
        <v>0.7142857142857143</v>
      </c>
      <c r="W811" s="8">
        <v>0</v>
      </c>
      <c r="X811" s="8">
        <v>0</v>
      </c>
      <c r="Y811" s="8">
        <v>0</v>
      </c>
      <c r="Z811" s="8">
        <v>0</v>
      </c>
      <c r="AA811" s="8">
        <v>0</v>
      </c>
      <c r="AB811" s="8">
        <v>0</v>
      </c>
      <c r="AC811" s="8">
        <v>0</v>
      </c>
      <c r="AD811" s="14">
        <f t="shared" si="49"/>
        <v>99.999999999999986</v>
      </c>
      <c r="AE811" s="8">
        <v>0</v>
      </c>
      <c r="AF811" s="8">
        <v>0</v>
      </c>
      <c r="AG811" s="8">
        <v>0</v>
      </c>
      <c r="AH811" s="8">
        <v>0</v>
      </c>
      <c r="AI811" s="39" t="s">
        <v>1531</v>
      </c>
      <c r="AJ811" s="64">
        <v>7</v>
      </c>
      <c r="AK811" s="93">
        <v>1480</v>
      </c>
      <c r="AL811" s="158"/>
      <c r="AM811" s="85"/>
      <c r="AN811" s="85"/>
      <c r="AO811" s="85"/>
      <c r="AP811" s="85"/>
      <c r="AQ811" s="85"/>
      <c r="AR811" s="85"/>
      <c r="AS811" s="85"/>
      <c r="AT811" s="205"/>
      <c r="AU811" s="85"/>
      <c r="AV811" s="196"/>
      <c r="AW811" s="85"/>
      <c r="AX811" s="85"/>
      <c r="AY811" s="39">
        <v>0.02</v>
      </c>
      <c r="AZ811" s="7">
        <v>188</v>
      </c>
      <c r="BA811" s="62">
        <v>6.6</v>
      </c>
      <c r="BB811" s="7">
        <v>2</v>
      </c>
      <c r="BC811" s="7">
        <v>32.200000000000003</v>
      </c>
      <c r="BD811" s="7"/>
      <c r="BE811" s="7"/>
      <c r="BF811" s="39"/>
      <c r="BG811" s="7"/>
      <c r="BH811" s="62"/>
      <c r="BI811" s="7"/>
      <c r="BJ811" s="32">
        <v>1</v>
      </c>
      <c r="BK811" s="259"/>
    </row>
    <row r="812" spans="1:63" ht="23.25" customHeight="1" thickBot="1" x14ac:dyDescent="0.25">
      <c r="A812" s="62">
        <v>811</v>
      </c>
      <c r="B812" s="221"/>
      <c r="C812" s="221"/>
      <c r="D812" s="223"/>
      <c r="E812" s="54" t="s">
        <v>338</v>
      </c>
      <c r="F812" s="16">
        <f t="shared" ref="F812:F813" si="59">11.5/14*100</f>
        <v>82.142857142857139</v>
      </c>
      <c r="G812" s="8">
        <f t="shared" ref="G812:G813" si="60">1.5/14*100</f>
        <v>10.714285714285714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>
        <v>0</v>
      </c>
      <c r="S812" s="17">
        <v>0</v>
      </c>
      <c r="T812" s="8">
        <f>(1-0.2)/14*100</f>
        <v>5.7142857142857144</v>
      </c>
      <c r="U812" s="8">
        <v>0</v>
      </c>
      <c r="V812" s="8">
        <f>0.2/14*100</f>
        <v>1.4285714285714286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14">
        <f t="shared" si="49"/>
        <v>99.999999999999986</v>
      </c>
      <c r="AE812" s="8">
        <v>0</v>
      </c>
      <c r="AF812" s="8">
        <v>0</v>
      </c>
      <c r="AG812" s="8">
        <v>0</v>
      </c>
      <c r="AH812" s="8">
        <v>0</v>
      </c>
      <c r="AI812" s="39" t="s">
        <v>1531</v>
      </c>
      <c r="AJ812" s="64">
        <v>7</v>
      </c>
      <c r="AK812" s="93">
        <v>1480</v>
      </c>
      <c r="AL812" s="158"/>
      <c r="AM812" s="85"/>
      <c r="AN812" s="85"/>
      <c r="AO812" s="85"/>
      <c r="AP812" s="85"/>
      <c r="AQ812" s="85"/>
      <c r="AR812" s="85"/>
      <c r="AS812" s="85"/>
      <c r="AT812" s="205"/>
      <c r="AU812" s="85"/>
      <c r="AV812" s="196"/>
      <c r="AW812" s="85"/>
      <c r="AX812" s="85"/>
      <c r="AY812" s="39">
        <v>0.02</v>
      </c>
      <c r="AZ812" s="7">
        <v>180</v>
      </c>
      <c r="BA812" s="62">
        <v>6.1</v>
      </c>
      <c r="BB812" s="7">
        <v>2</v>
      </c>
      <c r="BC812" s="7">
        <v>34.799999999999997</v>
      </c>
      <c r="BD812" s="7"/>
      <c r="BE812" s="7"/>
      <c r="BF812" s="39"/>
      <c r="BG812" s="7"/>
      <c r="BH812" s="62"/>
      <c r="BI812" s="7"/>
      <c r="BJ812" s="32">
        <v>1</v>
      </c>
      <c r="BK812" s="259"/>
    </row>
    <row r="813" spans="1:63" ht="23.25" customHeight="1" thickBot="1" x14ac:dyDescent="0.25">
      <c r="A813" s="7">
        <v>812</v>
      </c>
      <c r="B813" s="221"/>
      <c r="C813" s="221"/>
      <c r="D813" s="223"/>
      <c r="E813" s="54" t="s">
        <v>387</v>
      </c>
      <c r="F813" s="16">
        <f t="shared" si="59"/>
        <v>82.142857142857139</v>
      </c>
      <c r="G813" s="8">
        <f t="shared" si="60"/>
        <v>10.714285714285714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17">
        <v>0</v>
      </c>
      <c r="T813" s="8">
        <f>(1-0.35)/14*100</f>
        <v>4.6428571428571432</v>
      </c>
      <c r="U813" s="8">
        <v>0</v>
      </c>
      <c r="V813" s="8">
        <f>0.35/14*100</f>
        <v>2.5</v>
      </c>
      <c r="W813" s="8">
        <v>0</v>
      </c>
      <c r="X813" s="8">
        <v>0</v>
      </c>
      <c r="Y813" s="8">
        <v>0</v>
      </c>
      <c r="Z813" s="8">
        <v>0</v>
      </c>
      <c r="AA813" s="8">
        <v>0</v>
      </c>
      <c r="AB813" s="8">
        <v>0</v>
      </c>
      <c r="AC813" s="8">
        <v>0</v>
      </c>
      <c r="AD813" s="14">
        <f t="shared" si="49"/>
        <v>99.999999999999986</v>
      </c>
      <c r="AE813" s="8">
        <v>0</v>
      </c>
      <c r="AF813" s="8">
        <v>0</v>
      </c>
      <c r="AG813" s="8">
        <v>0</v>
      </c>
      <c r="AH813" s="8">
        <v>0</v>
      </c>
      <c r="AI813" s="39" t="s">
        <v>1531</v>
      </c>
      <c r="AJ813" s="64">
        <v>7</v>
      </c>
      <c r="AK813" s="93">
        <v>1480</v>
      </c>
      <c r="AL813" s="158"/>
      <c r="AM813" s="85"/>
      <c r="AN813" s="85"/>
      <c r="AO813" s="85"/>
      <c r="AP813" s="85"/>
      <c r="AQ813" s="85"/>
      <c r="AR813" s="85"/>
      <c r="AS813" s="85"/>
      <c r="AT813" s="205"/>
      <c r="AU813" s="85"/>
      <c r="AV813" s="196"/>
      <c r="AW813" s="85">
        <v>11.445</v>
      </c>
      <c r="AX813" s="85"/>
      <c r="AY813" s="39">
        <v>0.02</v>
      </c>
      <c r="AZ813" s="7">
        <v>168</v>
      </c>
      <c r="BA813" s="62">
        <v>11.7</v>
      </c>
      <c r="BB813" s="7">
        <v>2</v>
      </c>
      <c r="BC813" s="7">
        <v>57.3</v>
      </c>
      <c r="BD813" s="7"/>
      <c r="BE813" s="7"/>
      <c r="BF813" s="39"/>
      <c r="BG813" s="7"/>
      <c r="BH813" s="62"/>
      <c r="BI813" s="7"/>
      <c r="BJ813" s="32">
        <v>1</v>
      </c>
      <c r="BK813" s="259"/>
    </row>
    <row r="814" spans="1:63" s="4" customFormat="1" ht="23.25" customHeight="1" thickBot="1" x14ac:dyDescent="0.25">
      <c r="A814" s="62">
        <v>813</v>
      </c>
      <c r="B814" s="238">
        <v>910</v>
      </c>
      <c r="C814" s="238" t="s">
        <v>1862</v>
      </c>
      <c r="D814" s="225" t="s">
        <v>202</v>
      </c>
      <c r="E814" s="12"/>
      <c r="F814" s="87">
        <f>11.35/14*100</f>
        <v>81.071428571428569</v>
      </c>
      <c r="G814" s="88">
        <f>1.05/14*100</f>
        <v>7.5</v>
      </c>
      <c r="H814" s="88">
        <v>0</v>
      </c>
      <c r="I814" s="88">
        <v>0</v>
      </c>
      <c r="J814" s="88">
        <f>0.6/14*100</f>
        <v>4.2857142857142856</v>
      </c>
      <c r="K814" s="88">
        <v>0</v>
      </c>
      <c r="L814" s="88">
        <v>0</v>
      </c>
      <c r="M814" s="88">
        <v>0</v>
      </c>
      <c r="N814" s="88">
        <v>0</v>
      </c>
      <c r="O814" s="88">
        <v>0</v>
      </c>
      <c r="P814" s="88">
        <v>0</v>
      </c>
      <c r="Q814" s="88">
        <v>0</v>
      </c>
      <c r="R814" s="88">
        <v>0</v>
      </c>
      <c r="S814" s="89">
        <v>0</v>
      </c>
      <c r="T814" s="88">
        <f>1/14*100</f>
        <v>7.1428571428571423</v>
      </c>
      <c r="U814" s="88">
        <v>0</v>
      </c>
      <c r="V814" s="88">
        <v>0</v>
      </c>
      <c r="W814" s="88">
        <v>0</v>
      </c>
      <c r="X814" s="88">
        <v>0</v>
      </c>
      <c r="Y814" s="88">
        <v>0</v>
      </c>
      <c r="Z814" s="88">
        <v>0</v>
      </c>
      <c r="AA814" s="88">
        <v>0</v>
      </c>
      <c r="AB814" s="88">
        <v>0</v>
      </c>
      <c r="AC814" s="88">
        <v>0</v>
      </c>
      <c r="AD814" s="90">
        <f t="shared" si="49"/>
        <v>100</v>
      </c>
      <c r="AE814" s="88">
        <v>0</v>
      </c>
      <c r="AF814" s="88">
        <v>0</v>
      </c>
      <c r="AG814" s="88">
        <v>0</v>
      </c>
      <c r="AH814" s="88">
        <v>0</v>
      </c>
      <c r="AI814" s="156" t="s">
        <v>1531</v>
      </c>
      <c r="AJ814" s="45">
        <v>360</v>
      </c>
      <c r="AK814" s="91">
        <v>1323</v>
      </c>
      <c r="AL814" s="197">
        <v>95</v>
      </c>
      <c r="AM814" s="189">
        <v>5</v>
      </c>
      <c r="AN814" s="189"/>
      <c r="AO814" s="189"/>
      <c r="AP814" s="189"/>
      <c r="AQ814" s="189"/>
      <c r="AR814" s="189"/>
      <c r="AS814" s="189"/>
      <c r="AT814" s="198"/>
      <c r="AU814" s="189">
        <v>0</v>
      </c>
      <c r="AV814" s="199">
        <f>SUM(AL814:AT814)</f>
        <v>100</v>
      </c>
      <c r="AW814" s="189">
        <v>11.478999999999999</v>
      </c>
      <c r="AX814" s="189"/>
      <c r="AY814" s="156">
        <v>0.01</v>
      </c>
      <c r="AZ814" s="45">
        <v>268</v>
      </c>
      <c r="BA814" s="91"/>
      <c r="BB814" s="45" t="s">
        <v>1126</v>
      </c>
      <c r="BC814" s="45" t="s">
        <v>1125</v>
      </c>
      <c r="BD814" s="45"/>
      <c r="BE814" s="45"/>
      <c r="BF814" s="156"/>
      <c r="BG814" s="45"/>
      <c r="BH814" s="91"/>
      <c r="BI814" s="45"/>
      <c r="BJ814" s="67">
        <v>1</v>
      </c>
      <c r="BK814" s="256"/>
    </row>
    <row r="815" spans="1:63" ht="23.25" customHeight="1" thickBot="1" x14ac:dyDescent="0.25">
      <c r="A815" s="7">
        <v>814</v>
      </c>
      <c r="B815" s="221"/>
      <c r="C815" s="221"/>
      <c r="D815" s="223"/>
      <c r="E815" s="54"/>
      <c r="F815" s="16">
        <f>11.35/14*100</f>
        <v>81.071428571428569</v>
      </c>
      <c r="G815" s="8">
        <f>1.05/14*100</f>
        <v>7.5</v>
      </c>
      <c r="H815" s="8">
        <v>0</v>
      </c>
      <c r="I815" s="8">
        <v>0</v>
      </c>
      <c r="J815" s="8">
        <f>0.6/14*100</f>
        <v>4.2857142857142856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17">
        <v>0</v>
      </c>
      <c r="T815" s="8">
        <f>1/14*100</f>
        <v>7.1428571428571423</v>
      </c>
      <c r="U815" s="8">
        <v>0</v>
      </c>
      <c r="V815" s="8">
        <v>0</v>
      </c>
      <c r="W815" s="8">
        <v>0</v>
      </c>
      <c r="X815" s="8">
        <v>0</v>
      </c>
      <c r="Y815" s="8">
        <v>0</v>
      </c>
      <c r="Z815" s="8">
        <v>0</v>
      </c>
      <c r="AA815" s="8">
        <v>0</v>
      </c>
      <c r="AB815" s="8">
        <v>0</v>
      </c>
      <c r="AC815" s="8">
        <v>0</v>
      </c>
      <c r="AD815" s="14">
        <f t="shared" si="49"/>
        <v>100</v>
      </c>
      <c r="AE815" s="8">
        <v>0</v>
      </c>
      <c r="AF815" s="8">
        <v>0</v>
      </c>
      <c r="AG815" s="8">
        <v>0</v>
      </c>
      <c r="AH815" s="8">
        <v>0</v>
      </c>
      <c r="AI815" s="39" t="s">
        <v>1531</v>
      </c>
      <c r="AJ815" s="7">
        <v>360</v>
      </c>
      <c r="AK815" s="62">
        <v>1323</v>
      </c>
      <c r="AL815" s="158">
        <v>95</v>
      </c>
      <c r="AM815" s="85">
        <v>5</v>
      </c>
      <c r="AN815" s="85"/>
      <c r="AO815" s="85"/>
      <c r="AP815" s="85"/>
      <c r="AQ815" s="85"/>
      <c r="AR815" s="85"/>
      <c r="AS815" s="85"/>
      <c r="AT815" s="205"/>
      <c r="AU815" s="85">
        <v>0</v>
      </c>
      <c r="AV815" s="196">
        <f>SUM(AL815:AT815)</f>
        <v>100</v>
      </c>
      <c r="AW815" s="85">
        <v>11.478999999999999</v>
      </c>
      <c r="AX815" s="85"/>
      <c r="AY815" s="39">
        <v>0.01</v>
      </c>
      <c r="AZ815" s="7">
        <v>268</v>
      </c>
      <c r="BA815" s="62"/>
      <c r="BB815" s="7">
        <v>1.5</v>
      </c>
      <c r="BC815" s="7">
        <v>8.6999999999999993</v>
      </c>
      <c r="BD815" s="7"/>
      <c r="BE815" s="7"/>
      <c r="BF815" s="39"/>
      <c r="BG815" s="7"/>
      <c r="BH815" s="62"/>
      <c r="BI815" s="7"/>
      <c r="BJ815" s="32">
        <v>1</v>
      </c>
      <c r="BK815" s="256"/>
    </row>
    <row r="816" spans="1:63" ht="23.25" customHeight="1" thickBot="1" x14ac:dyDescent="0.25">
      <c r="A816" s="62">
        <v>815</v>
      </c>
      <c r="B816" s="221"/>
      <c r="C816" s="221"/>
      <c r="D816" s="223"/>
      <c r="E816" s="54"/>
      <c r="F816" s="16">
        <f>11.35/14*100</f>
        <v>81.071428571428569</v>
      </c>
      <c r="G816" s="8">
        <f>1.05/14*100</f>
        <v>7.5</v>
      </c>
      <c r="H816" s="8">
        <v>0</v>
      </c>
      <c r="I816" s="8">
        <v>0</v>
      </c>
      <c r="J816" s="8">
        <f>0.6/14*100</f>
        <v>4.2857142857142856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17">
        <v>0</v>
      </c>
      <c r="T816" s="8">
        <f>1/14*100</f>
        <v>7.1428571428571423</v>
      </c>
      <c r="U816" s="8">
        <v>0</v>
      </c>
      <c r="V816" s="8">
        <v>0</v>
      </c>
      <c r="W816" s="8">
        <v>0</v>
      </c>
      <c r="X816" s="8">
        <v>0</v>
      </c>
      <c r="Y816" s="8">
        <v>0</v>
      </c>
      <c r="Z816" s="8">
        <v>0</v>
      </c>
      <c r="AA816" s="8">
        <v>0</v>
      </c>
      <c r="AB816" s="8">
        <v>0</v>
      </c>
      <c r="AC816" s="8">
        <v>0</v>
      </c>
      <c r="AD816" s="14">
        <f t="shared" si="49"/>
        <v>100</v>
      </c>
      <c r="AE816" s="8">
        <v>0</v>
      </c>
      <c r="AF816" s="8">
        <v>0</v>
      </c>
      <c r="AG816" s="8">
        <v>0</v>
      </c>
      <c r="AH816" s="8">
        <v>0</v>
      </c>
      <c r="AI816" s="39" t="s">
        <v>1531</v>
      </c>
      <c r="AJ816" s="7">
        <v>360</v>
      </c>
      <c r="AK816" s="62">
        <v>1323</v>
      </c>
      <c r="AL816" s="158">
        <v>95</v>
      </c>
      <c r="AM816" s="85">
        <v>5</v>
      </c>
      <c r="AN816" s="85"/>
      <c r="AO816" s="85"/>
      <c r="AP816" s="85"/>
      <c r="AQ816" s="85"/>
      <c r="AR816" s="85"/>
      <c r="AS816" s="85"/>
      <c r="AT816" s="205"/>
      <c r="AU816" s="85">
        <v>0</v>
      </c>
      <c r="AV816" s="196">
        <f>SUM(AL816:AT816)</f>
        <v>100</v>
      </c>
      <c r="AW816" s="85">
        <v>11.478999999999999</v>
      </c>
      <c r="AX816" s="85"/>
      <c r="AY816" s="39">
        <v>0.01</v>
      </c>
      <c r="AZ816" s="7">
        <v>268</v>
      </c>
      <c r="BA816" s="62"/>
      <c r="BB816" s="7">
        <v>2.5</v>
      </c>
      <c r="BC816" s="7">
        <v>15.9</v>
      </c>
      <c r="BD816" s="7"/>
      <c r="BE816" s="7"/>
      <c r="BF816" s="39"/>
      <c r="BG816" s="7"/>
      <c r="BH816" s="62"/>
      <c r="BI816" s="7"/>
      <c r="BJ816" s="32">
        <v>1</v>
      </c>
      <c r="BK816" s="256"/>
    </row>
    <row r="817" spans="1:63" s="6" customFormat="1" ht="23.25" customHeight="1" thickBot="1" x14ac:dyDescent="0.25">
      <c r="A817" s="7">
        <v>816</v>
      </c>
      <c r="B817" s="222"/>
      <c r="C817" s="222"/>
      <c r="D817" s="224"/>
      <c r="E817" s="13"/>
      <c r="F817" s="80">
        <f>11.35/14*100</f>
        <v>81.071428571428569</v>
      </c>
      <c r="G817" s="81">
        <f>1.05/14*100</f>
        <v>7.5</v>
      </c>
      <c r="H817" s="81">
        <v>0</v>
      </c>
      <c r="I817" s="81">
        <v>0</v>
      </c>
      <c r="J817" s="81">
        <f>0.6/14*100</f>
        <v>4.2857142857142856</v>
      </c>
      <c r="K817" s="81">
        <v>0</v>
      </c>
      <c r="L817" s="81">
        <v>0</v>
      </c>
      <c r="M817" s="81">
        <v>0</v>
      </c>
      <c r="N817" s="81">
        <v>0</v>
      </c>
      <c r="O817" s="81">
        <v>0</v>
      </c>
      <c r="P817" s="81">
        <v>0</v>
      </c>
      <c r="Q817" s="81">
        <v>0</v>
      </c>
      <c r="R817" s="81">
        <v>0</v>
      </c>
      <c r="S817" s="82">
        <v>0</v>
      </c>
      <c r="T817" s="81">
        <f>1/14*100</f>
        <v>7.1428571428571423</v>
      </c>
      <c r="U817" s="81">
        <v>0</v>
      </c>
      <c r="V817" s="81">
        <v>0</v>
      </c>
      <c r="W817" s="81">
        <v>0</v>
      </c>
      <c r="X817" s="81">
        <v>0</v>
      </c>
      <c r="Y817" s="81">
        <v>0</v>
      </c>
      <c r="Z817" s="81">
        <v>0</v>
      </c>
      <c r="AA817" s="81">
        <v>0</v>
      </c>
      <c r="AB817" s="81">
        <v>0</v>
      </c>
      <c r="AC817" s="81">
        <v>0</v>
      </c>
      <c r="AD817" s="83">
        <f t="shared" si="49"/>
        <v>100</v>
      </c>
      <c r="AE817" s="81">
        <v>0</v>
      </c>
      <c r="AF817" s="81">
        <v>0</v>
      </c>
      <c r="AG817" s="81">
        <v>0</v>
      </c>
      <c r="AH817" s="81">
        <v>0</v>
      </c>
      <c r="AI817" s="79" t="s">
        <v>1531</v>
      </c>
      <c r="AJ817" s="65">
        <v>360</v>
      </c>
      <c r="AK817" s="78">
        <v>1323</v>
      </c>
      <c r="AL817" s="200">
        <v>95</v>
      </c>
      <c r="AM817" s="190">
        <v>5</v>
      </c>
      <c r="AN817" s="190"/>
      <c r="AO817" s="190"/>
      <c r="AP817" s="190"/>
      <c r="AQ817" s="190"/>
      <c r="AR817" s="190"/>
      <c r="AS817" s="190"/>
      <c r="AT817" s="201"/>
      <c r="AU817" s="190">
        <v>0</v>
      </c>
      <c r="AV817" s="202">
        <f>SUM(AL817:AT817)</f>
        <v>100</v>
      </c>
      <c r="AW817" s="190">
        <v>11.478999999999999</v>
      </c>
      <c r="AX817" s="190"/>
      <c r="AY817" s="79">
        <v>0.01</v>
      </c>
      <c r="AZ817" s="65">
        <v>268</v>
      </c>
      <c r="BA817" s="78"/>
      <c r="BB817" s="65">
        <v>3</v>
      </c>
      <c r="BC817" s="65">
        <v>19.7</v>
      </c>
      <c r="BD817" s="65"/>
      <c r="BE817" s="65"/>
      <c r="BF817" s="79"/>
      <c r="BG817" s="65"/>
      <c r="BH817" s="78"/>
      <c r="BI817" s="65"/>
      <c r="BJ817" s="68">
        <v>1</v>
      </c>
      <c r="BK817" s="256"/>
    </row>
    <row r="818" spans="1:63" ht="23.25" customHeight="1" thickBot="1" x14ac:dyDescent="0.25">
      <c r="A818" s="62">
        <v>817</v>
      </c>
      <c r="B818" s="238">
        <v>911</v>
      </c>
      <c r="C818" s="238" t="s">
        <v>1863</v>
      </c>
      <c r="D818" s="225" t="s">
        <v>500</v>
      </c>
      <c r="E818" s="54" t="s">
        <v>503</v>
      </c>
      <c r="F818" s="16">
        <f>(11.55 - 0.175)/14*100</f>
        <v>81.25</v>
      </c>
      <c r="G818" s="8">
        <f t="shared" ref="G818:G825" si="61">1.45/14*100</f>
        <v>10.357142857142856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f>0.175/14*100</f>
        <v>1.25</v>
      </c>
      <c r="Q818" s="8">
        <v>0</v>
      </c>
      <c r="R818" s="8">
        <v>0</v>
      </c>
      <c r="S818" s="17">
        <v>0</v>
      </c>
      <c r="T818" s="8">
        <f t="shared" ref="T818:T829" si="62">0.7/14*100</f>
        <v>5</v>
      </c>
      <c r="U818" s="8">
        <v>0</v>
      </c>
      <c r="V818" s="8">
        <f t="shared" ref="V818:V829" si="63">0.3/14*100</f>
        <v>2.1428571428571428</v>
      </c>
      <c r="W818" s="8">
        <v>0</v>
      </c>
      <c r="X818" s="8">
        <v>0</v>
      </c>
      <c r="Y818" s="8">
        <v>0</v>
      </c>
      <c r="Z818" s="8">
        <v>0</v>
      </c>
      <c r="AA818" s="8">
        <v>0</v>
      </c>
      <c r="AB818" s="8">
        <v>0</v>
      </c>
      <c r="AC818" s="8">
        <v>0</v>
      </c>
      <c r="AD818" s="14">
        <f t="shared" ref="AD818:AD878" si="64">SUM(F818:AC818)</f>
        <v>100</v>
      </c>
      <c r="AE818" s="8">
        <f>1.8/14*100</f>
        <v>12.857142857142859</v>
      </c>
      <c r="AF818" s="8">
        <v>0</v>
      </c>
      <c r="AG818" s="8">
        <v>0</v>
      </c>
      <c r="AH818" s="8">
        <v>0</v>
      </c>
      <c r="AI818" s="39" t="s">
        <v>1529</v>
      </c>
      <c r="AJ818" s="7">
        <v>20</v>
      </c>
      <c r="AK818" s="62">
        <v>1393</v>
      </c>
      <c r="AL818" s="158"/>
      <c r="AM818" s="85"/>
      <c r="AN818" s="85"/>
      <c r="AO818" s="85"/>
      <c r="AP818" s="85"/>
      <c r="AQ818" s="85"/>
      <c r="AR818" s="85"/>
      <c r="AS818" s="85"/>
      <c r="AT818" s="205"/>
      <c r="AU818" s="85"/>
      <c r="AV818" s="196"/>
      <c r="AW818" s="85"/>
      <c r="AX818" s="85"/>
      <c r="AY818" s="39">
        <v>0</v>
      </c>
      <c r="AZ818" s="7">
        <v>284.89999999999998</v>
      </c>
      <c r="BA818" s="62"/>
      <c r="BB818" s="7"/>
      <c r="BC818" s="7"/>
      <c r="BD818" s="7"/>
      <c r="BE818" s="7"/>
      <c r="BF818" s="39"/>
      <c r="BG818" s="7"/>
      <c r="BH818" s="62"/>
      <c r="BI818" s="7"/>
      <c r="BJ818" s="32"/>
      <c r="BK818" s="256"/>
    </row>
    <row r="819" spans="1:63" ht="23.25" customHeight="1" thickBot="1" x14ac:dyDescent="0.25">
      <c r="A819" s="7">
        <v>818</v>
      </c>
      <c r="B819" s="221"/>
      <c r="C819" s="221"/>
      <c r="D819" s="223"/>
      <c r="E819" s="54" t="s">
        <v>509</v>
      </c>
      <c r="F819" s="16">
        <f>(11.55 - 0.19)/14*100</f>
        <v>81.142857142857153</v>
      </c>
      <c r="G819" s="8">
        <f t="shared" si="61"/>
        <v>10.357142857142856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f>0.19/14*100</f>
        <v>1.3571428571428572</v>
      </c>
      <c r="Q819" s="8">
        <v>0</v>
      </c>
      <c r="R819" s="8">
        <v>0</v>
      </c>
      <c r="S819" s="17">
        <v>0</v>
      </c>
      <c r="T819" s="8">
        <f t="shared" si="62"/>
        <v>5</v>
      </c>
      <c r="U819" s="8">
        <v>0</v>
      </c>
      <c r="V819" s="8">
        <f t="shared" si="63"/>
        <v>2.1428571428571428</v>
      </c>
      <c r="W819" s="8">
        <v>0</v>
      </c>
      <c r="X819" s="8">
        <v>0</v>
      </c>
      <c r="Y819" s="8">
        <v>0</v>
      </c>
      <c r="Z819" s="8">
        <v>0</v>
      </c>
      <c r="AA819" s="8">
        <v>0</v>
      </c>
      <c r="AB819" s="8">
        <v>0</v>
      </c>
      <c r="AC819" s="8">
        <v>0</v>
      </c>
      <c r="AD819" s="14">
        <f t="shared" si="64"/>
        <v>100.00000000000001</v>
      </c>
      <c r="AE819" s="8">
        <f>1.8/14*100</f>
        <v>12.857142857142859</v>
      </c>
      <c r="AF819" s="8">
        <v>0</v>
      </c>
      <c r="AG819" s="8">
        <v>0</v>
      </c>
      <c r="AH819" s="8">
        <v>0</v>
      </c>
      <c r="AI819" s="39" t="s">
        <v>1529</v>
      </c>
      <c r="AJ819" s="7">
        <v>20</v>
      </c>
      <c r="AK819" s="62">
        <v>1393</v>
      </c>
      <c r="AL819" s="158"/>
      <c r="AM819" s="85"/>
      <c r="AN819" s="85"/>
      <c r="AO819" s="85"/>
      <c r="AP819" s="85"/>
      <c r="AQ819" s="85"/>
      <c r="AR819" s="85"/>
      <c r="AS819" s="85"/>
      <c r="AT819" s="205"/>
      <c r="AU819" s="85"/>
      <c r="AV819" s="196"/>
      <c r="AW819" s="85"/>
      <c r="AX819" s="85"/>
      <c r="AY819" s="39">
        <v>0</v>
      </c>
      <c r="AZ819" s="7">
        <v>282.60000000000002</v>
      </c>
      <c r="BA819" s="62"/>
      <c r="BB819" s="7">
        <v>1</v>
      </c>
      <c r="BC819" s="7">
        <v>15.6</v>
      </c>
      <c r="BD819" s="7"/>
      <c r="BE819" s="7"/>
      <c r="BF819" s="39"/>
      <c r="BG819" s="7"/>
      <c r="BH819" s="62"/>
      <c r="BI819" s="7"/>
      <c r="BJ819" s="32"/>
      <c r="BK819" s="256"/>
    </row>
    <row r="820" spans="1:63" ht="23.25" customHeight="1" thickBot="1" x14ac:dyDescent="0.25">
      <c r="A820" s="62">
        <v>819</v>
      </c>
      <c r="B820" s="221"/>
      <c r="C820" s="221"/>
      <c r="D820" s="223"/>
      <c r="E820" s="54" t="s">
        <v>508</v>
      </c>
      <c r="F820" s="16">
        <f>(11.55 - 0.22)/14*100</f>
        <v>80.928571428571431</v>
      </c>
      <c r="G820" s="8">
        <f t="shared" si="61"/>
        <v>10.357142857142856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f>0.22/14*100</f>
        <v>1.5714285714285716</v>
      </c>
      <c r="Q820" s="8">
        <v>0</v>
      </c>
      <c r="R820" s="8">
        <v>0</v>
      </c>
      <c r="S820" s="17">
        <v>0</v>
      </c>
      <c r="T820" s="8">
        <f t="shared" si="62"/>
        <v>5</v>
      </c>
      <c r="U820" s="8">
        <v>0</v>
      </c>
      <c r="V820" s="8">
        <f t="shared" si="63"/>
        <v>2.1428571428571428</v>
      </c>
      <c r="W820" s="8">
        <v>0</v>
      </c>
      <c r="X820" s="8">
        <v>0</v>
      </c>
      <c r="Y820" s="8">
        <v>0</v>
      </c>
      <c r="Z820" s="8">
        <v>0</v>
      </c>
      <c r="AA820" s="8">
        <v>0</v>
      </c>
      <c r="AB820" s="8">
        <v>0</v>
      </c>
      <c r="AC820" s="8">
        <v>0</v>
      </c>
      <c r="AD820" s="14">
        <f t="shared" si="64"/>
        <v>100</v>
      </c>
      <c r="AE820" s="8">
        <f>1.8/14*100</f>
        <v>12.857142857142859</v>
      </c>
      <c r="AF820" s="8">
        <v>0</v>
      </c>
      <c r="AG820" s="8">
        <v>0</v>
      </c>
      <c r="AH820" s="8">
        <v>0</v>
      </c>
      <c r="AI820" s="39" t="s">
        <v>1529</v>
      </c>
      <c r="AJ820" s="7">
        <v>20</v>
      </c>
      <c r="AK820" s="62">
        <v>1393</v>
      </c>
      <c r="AL820" s="158"/>
      <c r="AM820" s="85"/>
      <c r="AN820" s="85"/>
      <c r="AO820" s="85"/>
      <c r="AP820" s="85"/>
      <c r="AQ820" s="85"/>
      <c r="AR820" s="85"/>
      <c r="AS820" s="85"/>
      <c r="AT820" s="205"/>
      <c r="AU820" s="85"/>
      <c r="AV820" s="196"/>
      <c r="AW820" s="85"/>
      <c r="AX820" s="85"/>
      <c r="AY820" s="39">
        <v>0</v>
      </c>
      <c r="AZ820" s="7">
        <v>278.2</v>
      </c>
      <c r="BA820" s="62"/>
      <c r="BB820" s="7">
        <v>1</v>
      </c>
      <c r="BC820" s="7">
        <v>14</v>
      </c>
      <c r="BD820" s="7"/>
      <c r="BE820" s="7"/>
      <c r="BF820" s="39"/>
      <c r="BG820" s="7"/>
      <c r="BH820" s="62"/>
      <c r="BI820" s="7"/>
      <c r="BJ820" s="32"/>
      <c r="BK820" s="256"/>
    </row>
    <row r="821" spans="1:63" ht="23.25" customHeight="1" thickBot="1" x14ac:dyDescent="0.25">
      <c r="A821" s="7">
        <v>820</v>
      </c>
      <c r="B821" s="221"/>
      <c r="C821" s="221"/>
      <c r="D821" s="223"/>
      <c r="E821" s="54" t="s">
        <v>502</v>
      </c>
      <c r="F821" s="16">
        <f>(11.55 - 0.235)/14*100</f>
        <v>80.821428571428584</v>
      </c>
      <c r="G821" s="8">
        <f t="shared" si="61"/>
        <v>10.357142857142856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f>0.235/14*100</f>
        <v>1.6785714285714286</v>
      </c>
      <c r="Q821" s="8">
        <v>0</v>
      </c>
      <c r="R821" s="8">
        <v>0</v>
      </c>
      <c r="S821" s="17">
        <v>0</v>
      </c>
      <c r="T821" s="8">
        <f t="shared" si="62"/>
        <v>5</v>
      </c>
      <c r="U821" s="8">
        <v>0</v>
      </c>
      <c r="V821" s="8">
        <f t="shared" si="63"/>
        <v>2.1428571428571428</v>
      </c>
      <c r="W821" s="8">
        <v>0</v>
      </c>
      <c r="X821" s="8">
        <v>0</v>
      </c>
      <c r="Y821" s="8">
        <v>0</v>
      </c>
      <c r="Z821" s="8">
        <v>0</v>
      </c>
      <c r="AA821" s="8">
        <v>0</v>
      </c>
      <c r="AB821" s="8">
        <v>0</v>
      </c>
      <c r="AC821" s="8">
        <v>0</v>
      </c>
      <c r="AD821" s="14">
        <f t="shared" si="64"/>
        <v>100.00000000000001</v>
      </c>
      <c r="AE821" s="8">
        <f>1.8/14*100</f>
        <v>12.857142857142859</v>
      </c>
      <c r="AF821" s="8">
        <v>0</v>
      </c>
      <c r="AG821" s="8">
        <v>0</v>
      </c>
      <c r="AH821" s="8">
        <v>0</v>
      </c>
      <c r="AI821" s="39" t="s">
        <v>1529</v>
      </c>
      <c r="AJ821" s="7">
        <v>20</v>
      </c>
      <c r="AK821" s="62">
        <v>1393</v>
      </c>
      <c r="AL821" s="158"/>
      <c r="AM821" s="85"/>
      <c r="AN821" s="85"/>
      <c r="AO821" s="85"/>
      <c r="AP821" s="85"/>
      <c r="AQ821" s="85"/>
      <c r="AR821" s="85"/>
      <c r="AS821" s="85"/>
      <c r="AT821" s="205"/>
      <c r="AU821" s="85"/>
      <c r="AV821" s="196"/>
      <c r="AW821" s="85"/>
      <c r="AX821" s="85"/>
      <c r="AY821" s="39">
        <v>0</v>
      </c>
      <c r="AZ821" s="7">
        <v>274</v>
      </c>
      <c r="BA821" s="62"/>
      <c r="BB821" s="7">
        <v>1</v>
      </c>
      <c r="BC821" s="7">
        <v>15.1</v>
      </c>
      <c r="BD821" s="7"/>
      <c r="BE821" s="7"/>
      <c r="BF821" s="39"/>
      <c r="BG821" s="7"/>
      <c r="BH821" s="62"/>
      <c r="BI821" s="7"/>
      <c r="BJ821" s="32"/>
      <c r="BK821" s="256"/>
    </row>
    <row r="822" spans="1:63" ht="23.25" customHeight="1" thickBot="1" x14ac:dyDescent="0.25">
      <c r="A822" s="62">
        <v>821</v>
      </c>
      <c r="B822" s="221"/>
      <c r="C822" s="221"/>
      <c r="D822" s="223" t="s">
        <v>499</v>
      </c>
      <c r="E822" s="54" t="s">
        <v>503</v>
      </c>
      <c r="F822" s="16">
        <f>(11.55 - 0.175)/14*100</f>
        <v>81.25</v>
      </c>
      <c r="G822" s="8">
        <f t="shared" si="61"/>
        <v>10.357142857142856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f>0.175/14*100</f>
        <v>1.25</v>
      </c>
      <c r="Q822" s="8">
        <v>0</v>
      </c>
      <c r="R822" s="8">
        <v>0</v>
      </c>
      <c r="S822" s="17">
        <v>0</v>
      </c>
      <c r="T822" s="8">
        <f t="shared" si="62"/>
        <v>5</v>
      </c>
      <c r="U822" s="8">
        <v>0</v>
      </c>
      <c r="V822" s="8">
        <f t="shared" si="63"/>
        <v>2.1428571428571428</v>
      </c>
      <c r="W822" s="8">
        <v>0</v>
      </c>
      <c r="X822" s="8">
        <v>0</v>
      </c>
      <c r="Y822" s="8">
        <v>0</v>
      </c>
      <c r="Z822" s="8">
        <v>0</v>
      </c>
      <c r="AA822" s="8">
        <v>0</v>
      </c>
      <c r="AB822" s="8">
        <v>0</v>
      </c>
      <c r="AC822" s="8">
        <v>0</v>
      </c>
      <c r="AD822" s="14">
        <f t="shared" si="64"/>
        <v>100</v>
      </c>
      <c r="AE822" s="8">
        <v>0</v>
      </c>
      <c r="AF822" s="8">
        <v>0</v>
      </c>
      <c r="AG822" s="8">
        <v>0</v>
      </c>
      <c r="AH822" s="8">
        <v>0</v>
      </c>
      <c r="AI822" s="39" t="s">
        <v>1529</v>
      </c>
      <c r="AJ822" s="7">
        <v>20</v>
      </c>
      <c r="AK822" s="62">
        <v>1393</v>
      </c>
      <c r="AL822" s="158"/>
      <c r="AM822" s="85">
        <v>0</v>
      </c>
      <c r="AN822" s="85"/>
      <c r="AO822" s="85"/>
      <c r="AP822" s="85"/>
      <c r="AQ822" s="85"/>
      <c r="AR822" s="85"/>
      <c r="AS822" s="85"/>
      <c r="AT822" s="205"/>
      <c r="AU822" s="85"/>
      <c r="AV822" s="196">
        <f>SUM(AL822:AT822)</f>
        <v>0</v>
      </c>
      <c r="AW822" s="85"/>
      <c r="AX822" s="85"/>
      <c r="AY822" s="39">
        <v>0</v>
      </c>
      <c r="AZ822" s="7">
        <v>129.30000000000001</v>
      </c>
      <c r="BA822" s="62"/>
      <c r="BB822" s="7"/>
      <c r="BC822" s="7"/>
      <c r="BD822" s="7"/>
      <c r="BE822" s="7"/>
      <c r="BF822" s="39"/>
      <c r="BG822" s="7"/>
      <c r="BH822" s="62"/>
      <c r="BI822" s="7"/>
      <c r="BJ822" s="32"/>
      <c r="BK822" s="256"/>
    </row>
    <row r="823" spans="1:63" ht="23.25" customHeight="1" thickBot="1" x14ac:dyDescent="0.25">
      <c r="A823" s="7">
        <v>822</v>
      </c>
      <c r="B823" s="221"/>
      <c r="C823" s="221"/>
      <c r="D823" s="223"/>
      <c r="E823" s="54" t="s">
        <v>509</v>
      </c>
      <c r="F823" s="16">
        <f>(11.55 - 0.19)/14*100</f>
        <v>81.142857142857153</v>
      </c>
      <c r="G823" s="8">
        <f t="shared" si="61"/>
        <v>10.357142857142856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f>0.19/14*100</f>
        <v>1.3571428571428572</v>
      </c>
      <c r="Q823" s="8">
        <v>0</v>
      </c>
      <c r="R823" s="8">
        <v>0</v>
      </c>
      <c r="S823" s="17">
        <v>0</v>
      </c>
      <c r="T823" s="8">
        <f t="shared" si="62"/>
        <v>5</v>
      </c>
      <c r="U823" s="8">
        <v>0</v>
      </c>
      <c r="V823" s="8">
        <f t="shared" si="63"/>
        <v>2.1428571428571428</v>
      </c>
      <c r="W823" s="8">
        <v>0</v>
      </c>
      <c r="X823" s="8">
        <v>0</v>
      </c>
      <c r="Y823" s="8">
        <v>0</v>
      </c>
      <c r="Z823" s="8">
        <v>0</v>
      </c>
      <c r="AA823" s="8">
        <v>0</v>
      </c>
      <c r="AB823" s="8">
        <v>0</v>
      </c>
      <c r="AC823" s="8">
        <v>0</v>
      </c>
      <c r="AD823" s="14">
        <f t="shared" si="64"/>
        <v>100.00000000000001</v>
      </c>
      <c r="AE823" s="8">
        <v>0</v>
      </c>
      <c r="AF823" s="8">
        <v>0</v>
      </c>
      <c r="AG823" s="8">
        <v>0</v>
      </c>
      <c r="AH823" s="8">
        <v>0</v>
      </c>
      <c r="AI823" s="39" t="s">
        <v>1529</v>
      </c>
      <c r="AJ823" s="7">
        <v>20</v>
      </c>
      <c r="AK823" s="62">
        <v>1393</v>
      </c>
      <c r="AL823" s="158"/>
      <c r="AM823" s="85">
        <v>0</v>
      </c>
      <c r="AN823" s="85"/>
      <c r="AO823" s="85"/>
      <c r="AP823" s="85"/>
      <c r="AQ823" s="85"/>
      <c r="AR823" s="85"/>
      <c r="AS823" s="85"/>
      <c r="AT823" s="205"/>
      <c r="AU823" s="85"/>
      <c r="AV823" s="196">
        <f>SUM(AL823:AT823)</f>
        <v>0</v>
      </c>
      <c r="AW823" s="85"/>
      <c r="AX823" s="85"/>
      <c r="AY823" s="39">
        <v>0</v>
      </c>
      <c r="AZ823" s="7">
        <v>126.2</v>
      </c>
      <c r="BA823" s="62"/>
      <c r="BB823" s="7"/>
      <c r="BC823" s="7"/>
      <c r="BD823" s="7"/>
      <c r="BE823" s="7"/>
      <c r="BF823" s="39"/>
      <c r="BG823" s="7"/>
      <c r="BH823" s="62"/>
      <c r="BI823" s="7"/>
      <c r="BJ823" s="32"/>
      <c r="BK823" s="256"/>
    </row>
    <row r="824" spans="1:63" ht="23.25" customHeight="1" thickBot="1" x14ac:dyDescent="0.25">
      <c r="A824" s="62">
        <v>823</v>
      </c>
      <c r="B824" s="221"/>
      <c r="C824" s="221"/>
      <c r="D824" s="223"/>
      <c r="E824" s="54" t="s">
        <v>508</v>
      </c>
      <c r="F824" s="16">
        <f>(11.55 - 0.22)/14*100</f>
        <v>80.928571428571431</v>
      </c>
      <c r="G824" s="8">
        <f t="shared" si="61"/>
        <v>10.357142857142856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f>0.22/14*100</f>
        <v>1.5714285714285716</v>
      </c>
      <c r="Q824" s="8">
        <v>0</v>
      </c>
      <c r="R824" s="8">
        <v>0</v>
      </c>
      <c r="S824" s="17">
        <v>0</v>
      </c>
      <c r="T824" s="8">
        <f t="shared" si="62"/>
        <v>5</v>
      </c>
      <c r="U824" s="8">
        <v>0</v>
      </c>
      <c r="V824" s="8">
        <f t="shared" si="63"/>
        <v>2.1428571428571428</v>
      </c>
      <c r="W824" s="8">
        <v>0</v>
      </c>
      <c r="X824" s="8">
        <v>0</v>
      </c>
      <c r="Y824" s="8">
        <v>0</v>
      </c>
      <c r="Z824" s="8">
        <v>0</v>
      </c>
      <c r="AA824" s="8">
        <v>0</v>
      </c>
      <c r="AB824" s="8">
        <v>0</v>
      </c>
      <c r="AC824" s="8">
        <v>0</v>
      </c>
      <c r="AD824" s="14">
        <f t="shared" si="64"/>
        <v>100</v>
      </c>
      <c r="AE824" s="8">
        <v>0</v>
      </c>
      <c r="AF824" s="8">
        <v>0</v>
      </c>
      <c r="AG824" s="8">
        <v>0</v>
      </c>
      <c r="AH824" s="8">
        <v>0</v>
      </c>
      <c r="AI824" s="39" t="s">
        <v>1529</v>
      </c>
      <c r="AJ824" s="7">
        <v>20</v>
      </c>
      <c r="AK824" s="62">
        <v>1393</v>
      </c>
      <c r="AL824" s="158"/>
      <c r="AM824" s="85">
        <v>0</v>
      </c>
      <c r="AN824" s="85"/>
      <c r="AO824" s="85"/>
      <c r="AP824" s="85"/>
      <c r="AQ824" s="85"/>
      <c r="AR824" s="85"/>
      <c r="AS824" s="85"/>
      <c r="AT824" s="205"/>
      <c r="AU824" s="85"/>
      <c r="AV824" s="196">
        <f>SUM(AL824:AT824)</f>
        <v>0</v>
      </c>
      <c r="AW824" s="85"/>
      <c r="AX824" s="85"/>
      <c r="AY824" s="39">
        <v>0</v>
      </c>
      <c r="AZ824" s="7">
        <v>117.9</v>
      </c>
      <c r="BA824" s="62"/>
      <c r="BB824" s="7"/>
      <c r="BC824" s="7"/>
      <c r="BD824" s="7"/>
      <c r="BE824" s="7"/>
      <c r="BF824" s="39"/>
      <c r="BG824" s="7"/>
      <c r="BH824" s="62"/>
      <c r="BI824" s="7"/>
      <c r="BJ824" s="32"/>
      <c r="BK824" s="256"/>
    </row>
    <row r="825" spans="1:63" ht="23.25" customHeight="1" thickBot="1" x14ac:dyDescent="0.25">
      <c r="A825" s="7">
        <v>824</v>
      </c>
      <c r="B825" s="221"/>
      <c r="C825" s="221"/>
      <c r="D825" s="223"/>
      <c r="E825" s="54" t="s">
        <v>502</v>
      </c>
      <c r="F825" s="16">
        <f>(11.55 - 0.235)/14*100</f>
        <v>80.821428571428584</v>
      </c>
      <c r="G825" s="8">
        <f t="shared" si="61"/>
        <v>10.357142857142856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f>0.235/14*100</f>
        <v>1.6785714285714286</v>
      </c>
      <c r="Q825" s="8">
        <v>0</v>
      </c>
      <c r="R825" s="8">
        <v>0</v>
      </c>
      <c r="S825" s="17">
        <v>0</v>
      </c>
      <c r="T825" s="8">
        <f t="shared" si="62"/>
        <v>5</v>
      </c>
      <c r="U825" s="8">
        <v>0</v>
      </c>
      <c r="V825" s="8">
        <f t="shared" si="63"/>
        <v>2.1428571428571428</v>
      </c>
      <c r="W825" s="8">
        <v>0</v>
      </c>
      <c r="X825" s="8">
        <v>0</v>
      </c>
      <c r="Y825" s="8">
        <v>0</v>
      </c>
      <c r="Z825" s="8">
        <v>0</v>
      </c>
      <c r="AA825" s="8">
        <v>0</v>
      </c>
      <c r="AB825" s="8">
        <v>0</v>
      </c>
      <c r="AC825" s="8">
        <v>0</v>
      </c>
      <c r="AD825" s="14">
        <f t="shared" si="64"/>
        <v>100.00000000000001</v>
      </c>
      <c r="AE825" s="8">
        <v>0</v>
      </c>
      <c r="AF825" s="8">
        <v>0</v>
      </c>
      <c r="AG825" s="8">
        <v>0</v>
      </c>
      <c r="AH825" s="8">
        <v>0</v>
      </c>
      <c r="AI825" s="39" t="s">
        <v>1529</v>
      </c>
      <c r="AJ825" s="7">
        <v>20</v>
      </c>
      <c r="AK825" s="62">
        <v>1393</v>
      </c>
      <c r="AL825" s="158"/>
      <c r="AM825" s="85">
        <v>0</v>
      </c>
      <c r="AN825" s="85"/>
      <c r="AO825" s="85"/>
      <c r="AP825" s="85"/>
      <c r="AQ825" s="85"/>
      <c r="AR825" s="85"/>
      <c r="AS825" s="85"/>
      <c r="AT825" s="205"/>
      <c r="AU825" s="85"/>
      <c r="AV825" s="196">
        <f>SUM(AL825:AT825)</f>
        <v>0</v>
      </c>
      <c r="AW825" s="85"/>
      <c r="AX825" s="85"/>
      <c r="AY825" s="39">
        <v>0</v>
      </c>
      <c r="AZ825" s="7">
        <v>114.4</v>
      </c>
      <c r="BA825" s="62"/>
      <c r="BB825" s="7"/>
      <c r="BC825" s="7"/>
      <c r="BD825" s="7"/>
      <c r="BE825" s="7"/>
      <c r="BF825" s="39"/>
      <c r="BG825" s="7"/>
      <c r="BH825" s="62"/>
      <c r="BI825" s="7"/>
      <c r="BJ825" s="32"/>
      <c r="BK825" s="256"/>
    </row>
    <row r="826" spans="1:63" ht="23.25" customHeight="1" thickBot="1" x14ac:dyDescent="0.25">
      <c r="A826" s="62">
        <v>825</v>
      </c>
      <c r="B826" s="221"/>
      <c r="C826" s="221"/>
      <c r="D826" s="223" t="s">
        <v>498</v>
      </c>
      <c r="E826" s="54" t="s">
        <v>504</v>
      </c>
      <c r="F826" s="16">
        <f>(11.5 - 0.125)/14*100</f>
        <v>81.25</v>
      </c>
      <c r="G826" s="8">
        <f>1.5/14*100</f>
        <v>10.714285714285714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f>0.125/14*100</f>
        <v>0.89285714285714279</v>
      </c>
      <c r="Q826" s="8">
        <v>0</v>
      </c>
      <c r="R826" s="8">
        <v>0</v>
      </c>
      <c r="S826" s="17">
        <v>0</v>
      </c>
      <c r="T826" s="8">
        <f t="shared" si="62"/>
        <v>5</v>
      </c>
      <c r="U826" s="8">
        <v>0</v>
      </c>
      <c r="V826" s="8">
        <f t="shared" si="63"/>
        <v>2.1428571428571428</v>
      </c>
      <c r="W826" s="8">
        <v>0</v>
      </c>
      <c r="X826" s="8">
        <v>0</v>
      </c>
      <c r="Y826" s="8">
        <v>0</v>
      </c>
      <c r="Z826" s="8">
        <v>0</v>
      </c>
      <c r="AA826" s="8">
        <v>0</v>
      </c>
      <c r="AB826" s="8">
        <v>0</v>
      </c>
      <c r="AC826" s="8">
        <v>0</v>
      </c>
      <c r="AD826" s="14">
        <f t="shared" si="64"/>
        <v>99.999999999999986</v>
      </c>
      <c r="AE826" s="8">
        <f>1.8/14*100</f>
        <v>12.857142857142859</v>
      </c>
      <c r="AF826" s="8">
        <v>0</v>
      </c>
      <c r="AG826" s="8">
        <v>0</v>
      </c>
      <c r="AH826" s="8">
        <v>0</v>
      </c>
      <c r="AI826" s="39" t="s">
        <v>1529</v>
      </c>
      <c r="AJ826" s="7">
        <v>20</v>
      </c>
      <c r="AK826" s="62">
        <v>1393</v>
      </c>
      <c r="AL826" s="158"/>
      <c r="AM826" s="85"/>
      <c r="AN826" s="85"/>
      <c r="AO826" s="85"/>
      <c r="AP826" s="85"/>
      <c r="AQ826" s="85"/>
      <c r="AR826" s="85"/>
      <c r="AS826" s="85"/>
      <c r="AT826" s="205"/>
      <c r="AU826" s="85"/>
      <c r="AV826" s="196"/>
      <c r="AW826" s="85"/>
      <c r="AX826" s="85"/>
      <c r="AY826" s="39">
        <v>0</v>
      </c>
      <c r="AZ826" s="7">
        <v>294.39999999999998</v>
      </c>
      <c r="BA826" s="62"/>
      <c r="BB826" s="7">
        <v>1</v>
      </c>
      <c r="BC826" s="7">
        <v>10</v>
      </c>
      <c r="BD826" s="7"/>
      <c r="BE826" s="7"/>
      <c r="BF826" s="39"/>
      <c r="BG826" s="7"/>
      <c r="BH826" s="62"/>
      <c r="BI826" s="7"/>
      <c r="BJ826" s="32"/>
      <c r="BK826" s="256"/>
    </row>
    <row r="827" spans="1:63" ht="23.25" customHeight="1" thickBot="1" x14ac:dyDescent="0.25">
      <c r="A827" s="7">
        <v>826</v>
      </c>
      <c r="B827" s="221"/>
      <c r="C827" s="221"/>
      <c r="D827" s="223"/>
      <c r="E827" s="54" t="s">
        <v>506</v>
      </c>
      <c r="F827" s="16">
        <f>(11.5 - 0.2)/14*100</f>
        <v>80.714285714285722</v>
      </c>
      <c r="G827" s="8">
        <f t="shared" ref="G827:G829" si="65">1.5/14*100</f>
        <v>10.714285714285714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f>0.2/14*100</f>
        <v>1.4285714285714286</v>
      </c>
      <c r="Q827" s="8">
        <v>0</v>
      </c>
      <c r="R827" s="8">
        <v>0</v>
      </c>
      <c r="S827" s="17">
        <v>0</v>
      </c>
      <c r="T827" s="8">
        <f t="shared" si="62"/>
        <v>5</v>
      </c>
      <c r="U827" s="8">
        <v>0</v>
      </c>
      <c r="V827" s="8">
        <f t="shared" si="63"/>
        <v>2.1428571428571428</v>
      </c>
      <c r="W827" s="8">
        <v>0</v>
      </c>
      <c r="X827" s="8">
        <v>0</v>
      </c>
      <c r="Y827" s="8">
        <v>0</v>
      </c>
      <c r="Z827" s="8">
        <v>0</v>
      </c>
      <c r="AA827" s="8">
        <v>0</v>
      </c>
      <c r="AB827" s="8">
        <v>0</v>
      </c>
      <c r="AC827" s="8">
        <v>0</v>
      </c>
      <c r="AD827" s="14">
        <f t="shared" si="64"/>
        <v>100</v>
      </c>
      <c r="AE827" s="8">
        <f>1.8/14*100</f>
        <v>12.857142857142859</v>
      </c>
      <c r="AF827" s="8">
        <v>0</v>
      </c>
      <c r="AG827" s="8">
        <v>0</v>
      </c>
      <c r="AH827" s="8">
        <v>0</v>
      </c>
      <c r="AI827" s="39" t="s">
        <v>1529</v>
      </c>
      <c r="AJ827" s="7">
        <v>20</v>
      </c>
      <c r="AK827" s="62">
        <v>1393</v>
      </c>
      <c r="AL827" s="158"/>
      <c r="AM827" s="85"/>
      <c r="AN827" s="85"/>
      <c r="AO827" s="85"/>
      <c r="AP827" s="85"/>
      <c r="AQ827" s="85"/>
      <c r="AR827" s="85"/>
      <c r="AS827" s="85"/>
      <c r="AT827" s="205"/>
      <c r="AU827" s="85"/>
      <c r="AV827" s="196"/>
      <c r="AW827" s="85"/>
      <c r="AX827" s="85"/>
      <c r="AY827" s="39">
        <v>0</v>
      </c>
      <c r="AZ827" s="7">
        <v>279.8</v>
      </c>
      <c r="BA827" s="62"/>
      <c r="BB827" s="7">
        <v>1</v>
      </c>
      <c r="BC827" s="7">
        <v>7.9</v>
      </c>
      <c r="BD827" s="7"/>
      <c r="BE827" s="7"/>
      <c r="BF827" s="39"/>
      <c r="BG827" s="7"/>
      <c r="BH827" s="62"/>
      <c r="BI827" s="7"/>
      <c r="BJ827" s="32"/>
      <c r="BK827" s="256"/>
    </row>
    <row r="828" spans="1:63" ht="23.25" customHeight="1" thickBot="1" x14ac:dyDescent="0.25">
      <c r="A828" s="62">
        <v>827</v>
      </c>
      <c r="B828" s="221"/>
      <c r="C828" s="221"/>
      <c r="D828" s="223"/>
      <c r="E828" s="54" t="s">
        <v>507</v>
      </c>
      <c r="F828" s="16">
        <f>(11.5 - 0.22)/14*100</f>
        <v>80.571428571428569</v>
      </c>
      <c r="G828" s="8">
        <f t="shared" si="65"/>
        <v>10.714285714285714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f>0.22/14*100</f>
        <v>1.5714285714285716</v>
      </c>
      <c r="Q828" s="8">
        <v>0</v>
      </c>
      <c r="R828" s="8">
        <v>0</v>
      </c>
      <c r="S828" s="17">
        <v>0</v>
      </c>
      <c r="T828" s="8">
        <f t="shared" si="62"/>
        <v>5</v>
      </c>
      <c r="U828" s="8">
        <v>0</v>
      </c>
      <c r="V828" s="8">
        <f t="shared" si="63"/>
        <v>2.1428571428571428</v>
      </c>
      <c r="W828" s="8">
        <v>0</v>
      </c>
      <c r="X828" s="8">
        <v>0</v>
      </c>
      <c r="Y828" s="8">
        <v>0</v>
      </c>
      <c r="Z828" s="8">
        <v>0</v>
      </c>
      <c r="AA828" s="8">
        <v>0</v>
      </c>
      <c r="AB828" s="8">
        <v>0</v>
      </c>
      <c r="AC828" s="8">
        <v>0</v>
      </c>
      <c r="AD828" s="14">
        <f t="shared" si="64"/>
        <v>99.999999999999986</v>
      </c>
      <c r="AE828" s="8">
        <f>1.8/14*100</f>
        <v>12.857142857142859</v>
      </c>
      <c r="AF828" s="8">
        <v>0</v>
      </c>
      <c r="AG828" s="8">
        <v>0</v>
      </c>
      <c r="AH828" s="8">
        <v>0</v>
      </c>
      <c r="AI828" s="39" t="s">
        <v>1529</v>
      </c>
      <c r="AJ828" s="7">
        <v>20</v>
      </c>
      <c r="AK828" s="62">
        <v>1393</v>
      </c>
      <c r="AL828" s="158">
        <v>95.4</v>
      </c>
      <c r="AM828" s="85">
        <v>4.5999999999999996</v>
      </c>
      <c r="AN828" s="85"/>
      <c r="AO828" s="85"/>
      <c r="AP828" s="85"/>
      <c r="AQ828" s="85"/>
      <c r="AR828" s="85"/>
      <c r="AS828" s="85"/>
      <c r="AT828" s="205"/>
      <c r="AU828" s="85">
        <v>0</v>
      </c>
      <c r="AV828" s="196">
        <f>SUM(AL828:AT828)</f>
        <v>100</v>
      </c>
      <c r="AW828" s="85"/>
      <c r="AX828" s="85"/>
      <c r="AY828" s="39">
        <v>0</v>
      </c>
      <c r="AZ828" s="7">
        <v>276</v>
      </c>
      <c r="BA828" s="62"/>
      <c r="BB828" s="7">
        <v>1</v>
      </c>
      <c r="BC828" s="7">
        <v>6.3</v>
      </c>
      <c r="BD828" s="7"/>
      <c r="BE828" s="7"/>
      <c r="BF828" s="39"/>
      <c r="BG828" s="7"/>
      <c r="BH828" s="62"/>
      <c r="BI828" s="7"/>
      <c r="BJ828" s="32"/>
      <c r="BK828" s="256"/>
    </row>
    <row r="829" spans="1:63" ht="23.25" customHeight="1" thickBot="1" x14ac:dyDescent="0.25">
      <c r="A829" s="7">
        <v>828</v>
      </c>
      <c r="B829" s="222"/>
      <c r="C829" s="222"/>
      <c r="D829" s="224"/>
      <c r="E829" s="54" t="s">
        <v>505</v>
      </c>
      <c r="F829" s="16">
        <f>(11.5 - 0.26)/14*100</f>
        <v>80.285714285714278</v>
      </c>
      <c r="G829" s="8">
        <f t="shared" si="65"/>
        <v>10.714285714285714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f>0.26/14*100</f>
        <v>1.8571428571428572</v>
      </c>
      <c r="Q829" s="8">
        <v>0</v>
      </c>
      <c r="R829" s="8">
        <v>0</v>
      </c>
      <c r="S829" s="17">
        <v>0</v>
      </c>
      <c r="T829" s="8">
        <f t="shared" si="62"/>
        <v>5</v>
      </c>
      <c r="U829" s="8">
        <v>0</v>
      </c>
      <c r="V829" s="8">
        <f t="shared" si="63"/>
        <v>2.1428571428571428</v>
      </c>
      <c r="W829" s="8">
        <v>0</v>
      </c>
      <c r="X829" s="8">
        <v>0</v>
      </c>
      <c r="Y829" s="8">
        <v>0</v>
      </c>
      <c r="Z829" s="8">
        <v>0</v>
      </c>
      <c r="AA829" s="8">
        <v>0</v>
      </c>
      <c r="AB829" s="8">
        <v>0</v>
      </c>
      <c r="AC829" s="8">
        <v>0</v>
      </c>
      <c r="AD829" s="14">
        <f t="shared" si="64"/>
        <v>99.999999999999986</v>
      </c>
      <c r="AE829" s="8">
        <f>1.8/14*100</f>
        <v>12.857142857142859</v>
      </c>
      <c r="AF829" s="8">
        <v>0</v>
      </c>
      <c r="AG829" s="8">
        <v>0</v>
      </c>
      <c r="AH829" s="8">
        <v>0</v>
      </c>
      <c r="AI829" s="39" t="s">
        <v>1529</v>
      </c>
      <c r="AJ829" s="7">
        <v>20</v>
      </c>
      <c r="AK829" s="62">
        <v>1393</v>
      </c>
      <c r="AL829" s="158"/>
      <c r="AM829" s="85"/>
      <c r="AN829" s="85"/>
      <c r="AO829" s="85"/>
      <c r="AP829" s="85"/>
      <c r="AQ829" s="85"/>
      <c r="AR829" s="85"/>
      <c r="AS829" s="85"/>
      <c r="AT829" s="205"/>
      <c r="AU829" s="85"/>
      <c r="AV829" s="196"/>
      <c r="AW829" s="85"/>
      <c r="AX829" s="85"/>
      <c r="AY829" s="39">
        <v>0</v>
      </c>
      <c r="AZ829" s="7">
        <v>273.5</v>
      </c>
      <c r="BA829" s="62"/>
      <c r="BB829" s="7">
        <v>1</v>
      </c>
      <c r="BC829" s="7">
        <v>5.95</v>
      </c>
      <c r="BD829" s="7"/>
      <c r="BE829" s="7"/>
      <c r="BF829" s="39"/>
      <c r="BG829" s="7"/>
      <c r="BH829" s="62"/>
      <c r="BI829" s="7"/>
      <c r="BJ829" s="32"/>
      <c r="BK829" s="256"/>
    </row>
    <row r="830" spans="1:63" s="4" customFormat="1" ht="23.25" customHeight="1" thickBot="1" x14ac:dyDescent="0.25">
      <c r="A830" s="62">
        <v>829</v>
      </c>
      <c r="B830" s="238">
        <v>912</v>
      </c>
      <c r="C830" s="238" t="s">
        <v>1864</v>
      </c>
      <c r="D830" s="225" t="s">
        <v>497</v>
      </c>
      <c r="E830" s="12" t="s">
        <v>241</v>
      </c>
      <c r="F830" s="87">
        <f>(12)/14*100</f>
        <v>85.714285714285708</v>
      </c>
      <c r="G830" s="88">
        <f>1/14*100</f>
        <v>7.1428571428571423</v>
      </c>
      <c r="H830" s="88">
        <v>0</v>
      </c>
      <c r="I830" s="88">
        <v>0</v>
      </c>
      <c r="J830" s="88">
        <f>0/14*100</f>
        <v>0</v>
      </c>
      <c r="K830" s="88">
        <v>0</v>
      </c>
      <c r="L830" s="88">
        <v>0</v>
      </c>
      <c r="M830" s="88">
        <v>0</v>
      </c>
      <c r="N830" s="88">
        <v>0</v>
      </c>
      <c r="O830" s="88">
        <v>0</v>
      </c>
      <c r="P830" s="88">
        <v>0</v>
      </c>
      <c r="Q830" s="88">
        <v>0</v>
      </c>
      <c r="R830" s="88">
        <v>0</v>
      </c>
      <c r="S830" s="89">
        <v>0</v>
      </c>
      <c r="T830" s="88">
        <f>1/14*100</f>
        <v>7.1428571428571423</v>
      </c>
      <c r="U830" s="88">
        <v>0</v>
      </c>
      <c r="V830" s="88">
        <v>0</v>
      </c>
      <c r="W830" s="88">
        <v>0</v>
      </c>
      <c r="X830" s="88">
        <v>0</v>
      </c>
      <c r="Y830" s="88">
        <v>0</v>
      </c>
      <c r="Z830" s="88">
        <v>0</v>
      </c>
      <c r="AA830" s="88">
        <v>0</v>
      </c>
      <c r="AB830" s="88">
        <v>0</v>
      </c>
      <c r="AC830" s="88">
        <v>0</v>
      </c>
      <c r="AD830" s="90">
        <f t="shared" si="64"/>
        <v>99.999999999999986</v>
      </c>
      <c r="AE830" s="88">
        <v>0</v>
      </c>
      <c r="AF830" s="88">
        <v>0</v>
      </c>
      <c r="AG830" s="88">
        <v>0</v>
      </c>
      <c r="AH830" s="88">
        <v>0</v>
      </c>
      <c r="AI830" s="156"/>
      <c r="AJ830" s="45"/>
      <c r="AK830" s="91"/>
      <c r="AL830" s="197"/>
      <c r="AM830" s="189"/>
      <c r="AN830" s="189"/>
      <c r="AO830" s="189"/>
      <c r="AP830" s="189"/>
      <c r="AQ830" s="189"/>
      <c r="AR830" s="189"/>
      <c r="AS830" s="189"/>
      <c r="AT830" s="198"/>
      <c r="AU830" s="189"/>
      <c r="AV830" s="199"/>
      <c r="AW830" s="189"/>
      <c r="AX830" s="189"/>
      <c r="AY830" s="156"/>
      <c r="AZ830" s="45"/>
      <c r="BA830" s="91">
        <v>2.4</v>
      </c>
      <c r="BB830" s="45">
        <v>1.9</v>
      </c>
      <c r="BC830" s="45">
        <v>6.1</v>
      </c>
      <c r="BD830" s="45">
        <v>176.9</v>
      </c>
      <c r="BE830" s="45"/>
      <c r="BF830" s="156"/>
      <c r="BG830" s="45"/>
      <c r="BH830" s="91"/>
      <c r="BI830" s="45"/>
      <c r="BJ830" s="67"/>
      <c r="BK830" s="256"/>
    </row>
    <row r="831" spans="1:63" ht="23.25" customHeight="1" thickBot="1" x14ac:dyDescent="0.25">
      <c r="A831" s="7">
        <v>830</v>
      </c>
      <c r="B831" s="221"/>
      <c r="C831" s="221"/>
      <c r="D831" s="223"/>
      <c r="E831" s="54" t="s">
        <v>242</v>
      </c>
      <c r="F831" s="16">
        <f>(12 - 0.3)/14*100</f>
        <v>83.571428571428569</v>
      </c>
      <c r="G831" s="8">
        <f>1/14*100</f>
        <v>7.1428571428571423</v>
      </c>
      <c r="H831" s="8">
        <v>0</v>
      </c>
      <c r="I831" s="8">
        <v>0</v>
      </c>
      <c r="J831" s="8">
        <f>0.3/14*100</f>
        <v>2.1428571428571428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17">
        <v>0</v>
      </c>
      <c r="T831" s="8">
        <f>1/14*100</f>
        <v>7.1428571428571423</v>
      </c>
      <c r="U831" s="8">
        <v>0</v>
      </c>
      <c r="V831" s="8">
        <v>0</v>
      </c>
      <c r="W831" s="8">
        <v>0</v>
      </c>
      <c r="X831" s="8">
        <v>0</v>
      </c>
      <c r="Y831" s="8">
        <v>0</v>
      </c>
      <c r="Z831" s="8">
        <v>0</v>
      </c>
      <c r="AA831" s="8">
        <v>0</v>
      </c>
      <c r="AB831" s="8">
        <v>0</v>
      </c>
      <c r="AC831" s="8">
        <v>0</v>
      </c>
      <c r="AD831" s="14">
        <f t="shared" si="64"/>
        <v>99.999999999999986</v>
      </c>
      <c r="AE831" s="8">
        <v>0</v>
      </c>
      <c r="AF831" s="8">
        <v>0</v>
      </c>
      <c r="AG831" s="8">
        <v>0</v>
      </c>
      <c r="AH831" s="8">
        <v>0</v>
      </c>
      <c r="AJ831" s="7"/>
      <c r="AK831" s="62"/>
      <c r="AL831" s="158"/>
      <c r="AM831" s="85"/>
      <c r="AN831" s="85"/>
      <c r="AO831" s="85"/>
      <c r="AP831" s="85"/>
      <c r="AQ831" s="85"/>
      <c r="AR831" s="85"/>
      <c r="AS831" s="85"/>
      <c r="AT831" s="205"/>
      <c r="AU831" s="85"/>
      <c r="AV831" s="196"/>
      <c r="AW831" s="85"/>
      <c r="AX831" s="85"/>
      <c r="AY831" s="39"/>
      <c r="AZ831" s="7"/>
      <c r="BA831" s="62">
        <v>2</v>
      </c>
      <c r="BB831" s="7">
        <v>1.9</v>
      </c>
      <c r="BC831" s="7">
        <v>5.5</v>
      </c>
      <c r="BD831" s="7">
        <v>214.2</v>
      </c>
      <c r="BE831" s="7"/>
      <c r="BF831" s="39"/>
      <c r="BG831" s="7"/>
      <c r="BH831" s="62"/>
      <c r="BI831" s="7"/>
      <c r="BJ831" s="32"/>
      <c r="BK831" s="256"/>
    </row>
    <row r="832" spans="1:63" ht="23.25" customHeight="1" thickBot="1" x14ac:dyDescent="0.25">
      <c r="A832" s="62">
        <v>831</v>
      </c>
      <c r="B832" s="221"/>
      <c r="C832" s="221"/>
      <c r="D832" s="223"/>
      <c r="E832" s="54" t="s">
        <v>243</v>
      </c>
      <c r="F832" s="16">
        <f>(12 - 0.4)/14*100</f>
        <v>82.857142857142847</v>
      </c>
      <c r="G832" s="8">
        <f t="shared" ref="G832:G834" si="66">1/14*100</f>
        <v>7.1428571428571423</v>
      </c>
      <c r="H832" s="8">
        <v>0</v>
      </c>
      <c r="I832" s="8">
        <v>0</v>
      </c>
      <c r="J832" s="8">
        <f>0.4/14*100</f>
        <v>2.8571428571428572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17">
        <v>0</v>
      </c>
      <c r="T832" s="8">
        <f t="shared" ref="T832:T834" si="67">1/14*100</f>
        <v>7.1428571428571423</v>
      </c>
      <c r="U832" s="8">
        <v>0</v>
      </c>
      <c r="V832" s="8">
        <v>0</v>
      </c>
      <c r="W832" s="8">
        <v>0</v>
      </c>
      <c r="X832" s="8">
        <v>0</v>
      </c>
      <c r="Y832" s="8">
        <v>0</v>
      </c>
      <c r="Z832" s="8">
        <v>0</v>
      </c>
      <c r="AA832" s="8">
        <v>0</v>
      </c>
      <c r="AB832" s="8">
        <v>0</v>
      </c>
      <c r="AC832" s="8">
        <v>0</v>
      </c>
      <c r="AD832" s="14">
        <f t="shared" si="64"/>
        <v>99.999999999999986</v>
      </c>
      <c r="AE832" s="8">
        <v>0</v>
      </c>
      <c r="AF832" s="8">
        <v>0</v>
      </c>
      <c r="AG832" s="8">
        <v>0</v>
      </c>
      <c r="AH832" s="8">
        <v>0</v>
      </c>
      <c r="AJ832" s="7"/>
      <c r="AK832" s="62"/>
      <c r="AL832" s="158"/>
      <c r="AM832" s="85"/>
      <c r="AN832" s="85"/>
      <c r="AO832" s="85"/>
      <c r="AP832" s="85"/>
      <c r="AQ832" s="85"/>
      <c r="AR832" s="85"/>
      <c r="AS832" s="85"/>
      <c r="AT832" s="205"/>
      <c r="AU832" s="85"/>
      <c r="AV832" s="196"/>
      <c r="AW832" s="85"/>
      <c r="AX832" s="85"/>
      <c r="AY832" s="39"/>
      <c r="AZ832" s="7"/>
      <c r="BA832" s="62">
        <v>0</v>
      </c>
      <c r="BB832" s="7">
        <v>1.9</v>
      </c>
      <c r="BC832" s="7">
        <v>4</v>
      </c>
      <c r="BD832" s="7">
        <v>231.8</v>
      </c>
      <c r="BE832" s="7"/>
      <c r="BF832" s="39"/>
      <c r="BG832" s="7"/>
      <c r="BH832" s="62"/>
      <c r="BI832" s="7"/>
      <c r="BJ832" s="32"/>
      <c r="BK832" s="256"/>
    </row>
    <row r="833" spans="1:63" ht="23.25" customHeight="1" thickBot="1" x14ac:dyDescent="0.25">
      <c r="A833" s="7">
        <v>832</v>
      </c>
      <c r="B833" s="221"/>
      <c r="C833" s="221"/>
      <c r="D833" s="223"/>
      <c r="E833" s="54" t="s">
        <v>272</v>
      </c>
      <c r="F833" s="16">
        <f>(12 - 1)/14*100</f>
        <v>78.571428571428569</v>
      </c>
      <c r="G833" s="8">
        <f t="shared" si="66"/>
        <v>7.1428571428571423</v>
      </c>
      <c r="H833" s="8">
        <v>0</v>
      </c>
      <c r="I833" s="8">
        <v>0</v>
      </c>
      <c r="J833" s="8">
        <f>1/14*100</f>
        <v>7.1428571428571423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17">
        <v>0</v>
      </c>
      <c r="T833" s="8">
        <f t="shared" si="67"/>
        <v>7.1428571428571423</v>
      </c>
      <c r="U833" s="8">
        <v>0</v>
      </c>
      <c r="V833" s="8">
        <v>0</v>
      </c>
      <c r="W833" s="8">
        <v>0</v>
      </c>
      <c r="X833" s="8">
        <v>0</v>
      </c>
      <c r="Y833" s="8">
        <v>0</v>
      </c>
      <c r="Z833" s="8">
        <v>0</v>
      </c>
      <c r="AA833" s="8">
        <v>0</v>
      </c>
      <c r="AB833" s="8">
        <v>0</v>
      </c>
      <c r="AC833" s="8">
        <v>0</v>
      </c>
      <c r="AD833" s="14">
        <f t="shared" si="64"/>
        <v>99.999999999999986</v>
      </c>
      <c r="AE833" s="8">
        <v>0</v>
      </c>
      <c r="AF833" s="8">
        <v>0</v>
      </c>
      <c r="AG833" s="8">
        <v>0</v>
      </c>
      <c r="AH833" s="8">
        <v>0</v>
      </c>
      <c r="AJ833" s="7"/>
      <c r="AK833" s="62"/>
      <c r="AL833" s="158"/>
      <c r="AM833" s="85"/>
      <c r="AN833" s="85"/>
      <c r="AO833" s="85"/>
      <c r="AP833" s="85"/>
      <c r="AQ833" s="85"/>
      <c r="AR833" s="85"/>
      <c r="AS833" s="85"/>
      <c r="AT833" s="205"/>
      <c r="AU833" s="85"/>
      <c r="AV833" s="196"/>
      <c r="AW833" s="85"/>
      <c r="AX833" s="85"/>
      <c r="AY833" s="39"/>
      <c r="AZ833" s="7"/>
      <c r="BA833" s="62">
        <v>1.7</v>
      </c>
      <c r="BB833" s="7">
        <v>1.9</v>
      </c>
      <c r="BC833" s="7">
        <v>3.1</v>
      </c>
      <c r="BD833" s="7">
        <v>297.7</v>
      </c>
      <c r="BE833" s="7"/>
      <c r="BF833" s="39"/>
      <c r="BG833" s="7"/>
      <c r="BH833" s="62"/>
      <c r="BI833" s="7"/>
      <c r="BJ833" s="32"/>
      <c r="BK833" s="256"/>
    </row>
    <row r="834" spans="1:63" s="6" customFormat="1" ht="23.25" customHeight="1" thickBot="1" x14ac:dyDescent="0.25">
      <c r="A834" s="62">
        <v>833</v>
      </c>
      <c r="B834" s="222"/>
      <c r="C834" s="222"/>
      <c r="D834" s="224"/>
      <c r="E834" s="13" t="s">
        <v>344</v>
      </c>
      <c r="F834" s="80">
        <f>(12 - 1.3)/14*100</f>
        <v>76.428571428571416</v>
      </c>
      <c r="G834" s="81">
        <f t="shared" si="66"/>
        <v>7.1428571428571423</v>
      </c>
      <c r="H834" s="81">
        <v>0</v>
      </c>
      <c r="I834" s="81">
        <v>0</v>
      </c>
      <c r="J834" s="81">
        <f>1.3/14*100</f>
        <v>9.2857142857142865</v>
      </c>
      <c r="K834" s="81">
        <v>0</v>
      </c>
      <c r="L834" s="81">
        <v>0</v>
      </c>
      <c r="M834" s="81">
        <v>0</v>
      </c>
      <c r="N834" s="81">
        <v>0</v>
      </c>
      <c r="O834" s="81">
        <v>0</v>
      </c>
      <c r="P834" s="81">
        <v>0</v>
      </c>
      <c r="Q834" s="81">
        <v>0</v>
      </c>
      <c r="R834" s="81">
        <v>0</v>
      </c>
      <c r="S834" s="82">
        <v>0</v>
      </c>
      <c r="T834" s="81">
        <f t="shared" si="67"/>
        <v>7.1428571428571423</v>
      </c>
      <c r="U834" s="81">
        <v>0</v>
      </c>
      <c r="V834" s="81">
        <v>0</v>
      </c>
      <c r="W834" s="81">
        <v>0</v>
      </c>
      <c r="X834" s="81">
        <v>0</v>
      </c>
      <c r="Y834" s="81">
        <v>0</v>
      </c>
      <c r="Z834" s="81">
        <v>0</v>
      </c>
      <c r="AA834" s="81">
        <v>0</v>
      </c>
      <c r="AB834" s="81">
        <v>0</v>
      </c>
      <c r="AC834" s="81">
        <v>0</v>
      </c>
      <c r="AD834" s="83">
        <f t="shared" si="64"/>
        <v>99.999999999999986</v>
      </c>
      <c r="AE834" s="81">
        <v>0</v>
      </c>
      <c r="AF834" s="81">
        <v>0</v>
      </c>
      <c r="AG834" s="81">
        <v>0</v>
      </c>
      <c r="AH834" s="81">
        <v>0</v>
      </c>
      <c r="AI834" s="79"/>
      <c r="AJ834" s="65"/>
      <c r="AK834" s="78"/>
      <c r="AL834" s="200"/>
      <c r="AM834" s="190"/>
      <c r="AN834" s="190"/>
      <c r="AO834" s="190"/>
      <c r="AP834" s="190"/>
      <c r="AQ834" s="190"/>
      <c r="AR834" s="190"/>
      <c r="AS834" s="190"/>
      <c r="AT834" s="201"/>
      <c r="AU834" s="190"/>
      <c r="AV834" s="202"/>
      <c r="AW834" s="190"/>
      <c r="AX834" s="190"/>
      <c r="AY834" s="79"/>
      <c r="AZ834" s="65"/>
      <c r="BA834" s="78">
        <v>0</v>
      </c>
      <c r="BB834" s="65">
        <v>1.9</v>
      </c>
      <c r="BC834" s="65">
        <v>2.6</v>
      </c>
      <c r="BD834" s="65">
        <v>322</v>
      </c>
      <c r="BE834" s="65"/>
      <c r="BF834" s="79"/>
      <c r="BG834" s="65"/>
      <c r="BH834" s="78"/>
      <c r="BI834" s="65"/>
      <c r="BJ834" s="68"/>
      <c r="BK834" s="256"/>
    </row>
    <row r="835" spans="1:63" s="4" customFormat="1" ht="23.25" customHeight="1" thickBot="1" x14ac:dyDescent="0.25">
      <c r="A835" s="7">
        <v>834</v>
      </c>
      <c r="B835" s="238">
        <v>914</v>
      </c>
      <c r="C835" s="238" t="s">
        <v>1865</v>
      </c>
      <c r="D835" s="225" t="s">
        <v>203</v>
      </c>
      <c r="E835" s="12"/>
      <c r="F835" s="87">
        <f>13.92/(1+13.92+1.4)*100</f>
        <v>85.294117647058826</v>
      </c>
      <c r="G835" s="88">
        <f>1.4/(1+13.92+1.4)*100</f>
        <v>8.5784313725490176</v>
      </c>
      <c r="H835" s="88">
        <v>0</v>
      </c>
      <c r="I835" s="88">
        <v>0</v>
      </c>
      <c r="J835" s="88">
        <v>0</v>
      </c>
      <c r="K835" s="88">
        <v>0</v>
      </c>
      <c r="L835" s="88">
        <v>0</v>
      </c>
      <c r="M835" s="88">
        <v>0</v>
      </c>
      <c r="N835" s="88">
        <v>0</v>
      </c>
      <c r="O835" s="88">
        <v>0</v>
      </c>
      <c r="P835" s="88">
        <v>0</v>
      </c>
      <c r="Q835" s="88">
        <v>0</v>
      </c>
      <c r="R835" s="88">
        <v>0</v>
      </c>
      <c r="S835" s="89">
        <v>0</v>
      </c>
      <c r="T835" s="88">
        <f>1/(1+13.92+1.4)*100</f>
        <v>6.1274509803921564</v>
      </c>
      <c r="U835" s="88">
        <v>0</v>
      </c>
      <c r="V835" s="88">
        <v>0</v>
      </c>
      <c r="W835" s="88">
        <v>0</v>
      </c>
      <c r="X835" s="88">
        <v>0</v>
      </c>
      <c r="Y835" s="88">
        <v>0</v>
      </c>
      <c r="Z835" s="88">
        <v>0</v>
      </c>
      <c r="AA835" s="88">
        <v>0</v>
      </c>
      <c r="AB835" s="88">
        <v>0</v>
      </c>
      <c r="AC835" s="88">
        <v>0</v>
      </c>
      <c r="AD835" s="90">
        <f t="shared" si="64"/>
        <v>100</v>
      </c>
      <c r="AE835" s="88">
        <v>0</v>
      </c>
      <c r="AF835" s="88">
        <v>0</v>
      </c>
      <c r="AG835" s="88">
        <v>0</v>
      </c>
      <c r="AH835" s="88">
        <v>0</v>
      </c>
      <c r="AI835" s="156" t="s">
        <v>1531</v>
      </c>
      <c r="AJ835" s="45">
        <v>24</v>
      </c>
      <c r="AK835" s="91">
        <v>1323</v>
      </c>
      <c r="AL835" s="197"/>
      <c r="AM835" s="189"/>
      <c r="AN835" s="189"/>
      <c r="AO835" s="189"/>
      <c r="AP835" s="189"/>
      <c r="AQ835" s="189"/>
      <c r="AR835" s="189"/>
      <c r="AS835" s="189"/>
      <c r="AT835" s="198"/>
      <c r="AU835" s="189"/>
      <c r="AV835" s="199"/>
      <c r="AW835" s="189"/>
      <c r="AX835" s="189"/>
      <c r="AY835" s="156"/>
      <c r="AZ835" s="45">
        <v>194.5</v>
      </c>
      <c r="BA835" s="91">
        <v>0.3</v>
      </c>
      <c r="BB835" s="45" t="s">
        <v>544</v>
      </c>
      <c r="BC835" s="45" t="s">
        <v>1127</v>
      </c>
      <c r="BD835" s="45"/>
      <c r="BE835" s="45"/>
      <c r="BF835" s="156"/>
      <c r="BG835" s="45"/>
      <c r="BH835" s="91"/>
      <c r="BI835" s="45"/>
      <c r="BJ835" s="67">
        <v>1</v>
      </c>
      <c r="BK835" s="256"/>
    </row>
    <row r="836" spans="1:63" s="6" customFormat="1" ht="23.25" customHeight="1" thickBot="1" x14ac:dyDescent="0.25">
      <c r="A836" s="62">
        <v>835</v>
      </c>
      <c r="B836" s="222"/>
      <c r="C836" s="222"/>
      <c r="D836" s="224"/>
      <c r="E836" s="13"/>
      <c r="F836" s="80">
        <f>13.92/(1+13.92+1.4)*100</f>
        <v>85.294117647058826</v>
      </c>
      <c r="G836" s="81">
        <f>1.4/(1+13.92+1.4)*100</f>
        <v>8.5784313725490176</v>
      </c>
      <c r="H836" s="81">
        <v>0</v>
      </c>
      <c r="I836" s="81">
        <v>0</v>
      </c>
      <c r="J836" s="81">
        <v>0</v>
      </c>
      <c r="K836" s="81">
        <v>0</v>
      </c>
      <c r="L836" s="81">
        <v>0</v>
      </c>
      <c r="M836" s="81">
        <v>0</v>
      </c>
      <c r="N836" s="81">
        <v>0</v>
      </c>
      <c r="O836" s="81">
        <v>0</v>
      </c>
      <c r="P836" s="81">
        <v>0</v>
      </c>
      <c r="Q836" s="81">
        <v>0</v>
      </c>
      <c r="R836" s="81">
        <v>0</v>
      </c>
      <c r="S836" s="82">
        <v>0</v>
      </c>
      <c r="T836" s="81">
        <f>1/(1+13.92+1.4)*100</f>
        <v>6.1274509803921564</v>
      </c>
      <c r="U836" s="81">
        <v>0</v>
      </c>
      <c r="V836" s="81">
        <v>0</v>
      </c>
      <c r="W836" s="81">
        <v>0</v>
      </c>
      <c r="X836" s="81">
        <v>0</v>
      </c>
      <c r="Y836" s="81">
        <v>0</v>
      </c>
      <c r="Z836" s="81">
        <v>0</v>
      </c>
      <c r="AA836" s="81">
        <v>0</v>
      </c>
      <c r="AB836" s="81">
        <v>0</v>
      </c>
      <c r="AC836" s="81">
        <v>0</v>
      </c>
      <c r="AD836" s="83">
        <f t="shared" si="64"/>
        <v>100</v>
      </c>
      <c r="AE836" s="81">
        <v>0</v>
      </c>
      <c r="AF836" s="81">
        <v>0</v>
      </c>
      <c r="AG836" s="81">
        <v>0</v>
      </c>
      <c r="AH836" s="81">
        <v>0</v>
      </c>
      <c r="AI836" s="79" t="s">
        <v>1531</v>
      </c>
      <c r="AJ836" s="65">
        <v>72</v>
      </c>
      <c r="AK836" s="78">
        <v>1323</v>
      </c>
      <c r="AL836" s="200"/>
      <c r="AM836" s="190"/>
      <c r="AN836" s="190"/>
      <c r="AO836" s="190"/>
      <c r="AP836" s="190"/>
      <c r="AQ836" s="190"/>
      <c r="AR836" s="190"/>
      <c r="AS836" s="190"/>
      <c r="AT836" s="201"/>
      <c r="AU836" s="190"/>
      <c r="AV836" s="202"/>
      <c r="AW836" s="190"/>
      <c r="AX836" s="190"/>
      <c r="AY836" s="79"/>
      <c r="AZ836" s="65">
        <v>187.9</v>
      </c>
      <c r="BA836" s="78">
        <v>1.4</v>
      </c>
      <c r="BB836" s="65" t="s">
        <v>544</v>
      </c>
      <c r="BC836" s="65" t="s">
        <v>1128</v>
      </c>
      <c r="BD836" s="65"/>
      <c r="BE836" s="65"/>
      <c r="BF836" s="79"/>
      <c r="BG836" s="65"/>
      <c r="BH836" s="78"/>
      <c r="BI836" s="65"/>
      <c r="BJ836" s="68">
        <v>1</v>
      </c>
      <c r="BK836" s="256"/>
    </row>
    <row r="837" spans="1:63" ht="23.25" customHeight="1" x14ac:dyDescent="0.2">
      <c r="A837" s="7">
        <v>836</v>
      </c>
      <c r="B837" s="218">
        <v>916</v>
      </c>
      <c r="C837" s="218" t="s">
        <v>1590</v>
      </c>
      <c r="D837" s="225" t="s">
        <v>496</v>
      </c>
      <c r="E837" s="54" t="s">
        <v>241</v>
      </c>
      <c r="F837" s="16">
        <f>11/14*100</f>
        <v>78.571428571428569</v>
      </c>
      <c r="G837" s="8">
        <f>2/14*100</f>
        <v>14.285714285714285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17">
        <v>0</v>
      </c>
      <c r="T837" s="8">
        <f>1/14*100</f>
        <v>7.1428571428571423</v>
      </c>
      <c r="U837" s="8">
        <v>0</v>
      </c>
      <c r="V837" s="8">
        <v>0</v>
      </c>
      <c r="W837" s="8">
        <v>0</v>
      </c>
      <c r="X837" s="8">
        <v>0</v>
      </c>
      <c r="Y837" s="8">
        <v>0</v>
      </c>
      <c r="Z837" s="8">
        <v>0</v>
      </c>
      <c r="AA837" s="8">
        <v>0</v>
      </c>
      <c r="AB837" s="8">
        <v>0</v>
      </c>
      <c r="AC837" s="8">
        <v>0</v>
      </c>
      <c r="AD837" s="14">
        <f t="shared" si="64"/>
        <v>100</v>
      </c>
      <c r="AE837" s="8">
        <v>0</v>
      </c>
      <c r="AF837" s="8">
        <v>0</v>
      </c>
      <c r="AG837" s="8">
        <v>0</v>
      </c>
      <c r="AH837" s="8">
        <v>0</v>
      </c>
      <c r="AI837" s="39" t="s">
        <v>1531</v>
      </c>
      <c r="AJ837" s="7">
        <v>12</v>
      </c>
      <c r="AK837" s="62">
        <v>1423</v>
      </c>
      <c r="AL837" s="158"/>
      <c r="AM837" s="85"/>
      <c r="AN837" s="85"/>
      <c r="AO837" s="85"/>
      <c r="AP837" s="85"/>
      <c r="AQ837" s="85"/>
      <c r="AR837" s="85"/>
      <c r="AS837" s="85"/>
      <c r="AT837" s="205"/>
      <c r="AU837" s="85"/>
      <c r="AV837" s="196"/>
      <c r="AW837" s="85"/>
      <c r="AX837" s="85"/>
      <c r="AY837" s="39"/>
      <c r="AZ837" s="7"/>
      <c r="BA837" s="62"/>
      <c r="BB837" s="7" t="s">
        <v>1152</v>
      </c>
      <c r="BC837" s="7" t="s">
        <v>1159</v>
      </c>
      <c r="BD837" s="7"/>
      <c r="BE837" s="7"/>
      <c r="BF837" s="39"/>
      <c r="BG837" s="7"/>
      <c r="BH837" s="62"/>
      <c r="BI837" s="7"/>
      <c r="BJ837" s="32">
        <v>1</v>
      </c>
      <c r="BK837" s="54"/>
    </row>
    <row r="838" spans="1:63" ht="23.25" customHeight="1" x14ac:dyDescent="0.2">
      <c r="A838" s="62">
        <v>837</v>
      </c>
      <c r="B838" s="221"/>
      <c r="C838" s="221"/>
      <c r="D838" s="223"/>
      <c r="E838" s="54" t="s">
        <v>1150</v>
      </c>
      <c r="F838" s="16">
        <f>11/14*100</f>
        <v>78.571428571428569</v>
      </c>
      <c r="G838" s="8">
        <f t="shared" ref="G838:G846" si="68">2/14*100</f>
        <v>14.285714285714285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17">
        <v>0</v>
      </c>
      <c r="T838" s="8">
        <f>(1-0.4)/14*100</f>
        <v>4.2857142857142856</v>
      </c>
      <c r="U838" s="8">
        <v>0</v>
      </c>
      <c r="V838" s="8">
        <f>0.4/14*100</f>
        <v>2.8571428571428572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  <c r="AD838" s="14">
        <f t="shared" si="64"/>
        <v>100.00000000000001</v>
      </c>
      <c r="AE838" s="8">
        <v>0</v>
      </c>
      <c r="AF838" s="8">
        <v>0</v>
      </c>
      <c r="AG838" s="8">
        <v>0</v>
      </c>
      <c r="AH838" s="8">
        <v>0</v>
      </c>
      <c r="AI838" s="39" t="s">
        <v>1531</v>
      </c>
      <c r="AJ838" s="7">
        <v>12</v>
      </c>
      <c r="AK838" s="62">
        <v>1423</v>
      </c>
      <c r="AL838" s="158"/>
      <c r="AM838" s="85"/>
      <c r="AN838" s="85"/>
      <c r="AO838" s="85"/>
      <c r="AP838" s="85"/>
      <c r="AQ838" s="85"/>
      <c r="AR838" s="85"/>
      <c r="AS838" s="85"/>
      <c r="AT838" s="205"/>
      <c r="AU838" s="85"/>
      <c r="AV838" s="196"/>
      <c r="AW838" s="85"/>
      <c r="AX838" s="85"/>
      <c r="AY838" s="39">
        <v>0.05</v>
      </c>
      <c r="AZ838" s="7">
        <v>172</v>
      </c>
      <c r="BA838" s="62">
        <v>8.5</v>
      </c>
      <c r="BB838" s="7" t="s">
        <v>1152</v>
      </c>
      <c r="BC838" s="7" t="s">
        <v>1153</v>
      </c>
      <c r="BD838" s="7" t="s">
        <v>1154</v>
      </c>
      <c r="BE838" s="7" t="s">
        <v>1155</v>
      </c>
      <c r="BF838" s="39"/>
      <c r="BG838" s="7"/>
      <c r="BH838" s="62"/>
      <c r="BI838" s="7"/>
      <c r="BJ838" s="32">
        <v>1</v>
      </c>
      <c r="BK838" s="54"/>
    </row>
    <row r="839" spans="1:63" ht="23.25" customHeight="1" x14ac:dyDescent="0.2">
      <c r="A839" s="7">
        <v>838</v>
      </c>
      <c r="B839" s="221"/>
      <c r="C839" s="221"/>
      <c r="D839" s="223" t="s">
        <v>1151</v>
      </c>
      <c r="E839" s="54" t="s">
        <v>241</v>
      </c>
      <c r="F839" s="16">
        <f>11/14*100</f>
        <v>78.571428571428569</v>
      </c>
      <c r="G839" s="8">
        <f t="shared" si="68"/>
        <v>14.285714285714285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17">
        <v>0</v>
      </c>
      <c r="T839" s="8">
        <f>1/14*100</f>
        <v>7.1428571428571423</v>
      </c>
      <c r="U839" s="8">
        <v>0</v>
      </c>
      <c r="V839" s="8">
        <v>0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  <c r="AB839" s="8">
        <v>0</v>
      </c>
      <c r="AC839" s="8">
        <v>0</v>
      </c>
      <c r="AD839" s="14">
        <f t="shared" si="64"/>
        <v>100</v>
      </c>
      <c r="AE839" s="8">
        <f>1.8/14*100</f>
        <v>12.857142857142859</v>
      </c>
      <c r="AF839" s="8">
        <v>0</v>
      </c>
      <c r="AG839" s="8">
        <v>0</v>
      </c>
      <c r="AH839" s="8">
        <v>0</v>
      </c>
      <c r="AI839" s="39" t="s">
        <v>1531</v>
      </c>
      <c r="AJ839" s="7">
        <v>12</v>
      </c>
      <c r="AK839" s="62">
        <v>1423</v>
      </c>
      <c r="AL839" s="158"/>
      <c r="AM839" s="85"/>
      <c r="AN839" s="85"/>
      <c r="AO839" s="85"/>
      <c r="AP839" s="85"/>
      <c r="AQ839" s="85"/>
      <c r="AR839" s="85"/>
      <c r="AS839" s="85"/>
      <c r="AT839" s="205"/>
      <c r="AU839" s="85"/>
      <c r="AV839" s="196"/>
      <c r="AW839" s="85"/>
      <c r="AX839" s="85"/>
      <c r="AY839" s="39"/>
      <c r="AZ839" s="7"/>
      <c r="BA839" s="62"/>
      <c r="BB839" s="7" t="s">
        <v>1152</v>
      </c>
      <c r="BC839" s="7" t="s">
        <v>1163</v>
      </c>
      <c r="BD839" s="7"/>
      <c r="BE839" s="7"/>
      <c r="BF839" s="39"/>
      <c r="BG839" s="7"/>
      <c r="BH839" s="62"/>
      <c r="BI839" s="7"/>
      <c r="BJ839" s="32">
        <v>1</v>
      </c>
      <c r="BK839" s="54"/>
    </row>
    <row r="840" spans="1:63" ht="23.25" customHeight="1" x14ac:dyDescent="0.2">
      <c r="A840" s="62">
        <v>839</v>
      </c>
      <c r="B840" s="221"/>
      <c r="C840" s="221"/>
      <c r="D840" s="223"/>
      <c r="E840" s="54" t="s">
        <v>1150</v>
      </c>
      <c r="F840" s="16">
        <f>11/14*100</f>
        <v>78.571428571428569</v>
      </c>
      <c r="G840" s="8">
        <f t="shared" si="68"/>
        <v>14.285714285714285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17">
        <v>0</v>
      </c>
      <c r="T840" s="8">
        <f>(1-0.4)/14*100</f>
        <v>4.2857142857142856</v>
      </c>
      <c r="U840" s="8">
        <v>0</v>
      </c>
      <c r="V840" s="8">
        <f>0.4/14*100</f>
        <v>2.8571428571428572</v>
      </c>
      <c r="W840" s="8">
        <v>0</v>
      </c>
      <c r="X840" s="8">
        <v>0</v>
      </c>
      <c r="Y840" s="8">
        <v>0</v>
      </c>
      <c r="Z840" s="8">
        <v>0</v>
      </c>
      <c r="AA840" s="8">
        <v>0</v>
      </c>
      <c r="AB840" s="8">
        <v>0</v>
      </c>
      <c r="AC840" s="8">
        <v>0</v>
      </c>
      <c r="AD840" s="14">
        <f t="shared" si="64"/>
        <v>100.00000000000001</v>
      </c>
      <c r="AE840" s="8">
        <f>1.8/14*100</f>
        <v>12.857142857142859</v>
      </c>
      <c r="AF840" s="8">
        <v>0</v>
      </c>
      <c r="AG840" s="8">
        <v>0</v>
      </c>
      <c r="AH840" s="8">
        <v>0</v>
      </c>
      <c r="AI840" s="39" t="s">
        <v>1531</v>
      </c>
      <c r="AJ840" s="7">
        <v>12</v>
      </c>
      <c r="AK840" s="62">
        <v>1423</v>
      </c>
      <c r="AL840" s="158"/>
      <c r="AM840" s="85"/>
      <c r="AN840" s="85"/>
      <c r="AO840" s="85"/>
      <c r="AP840" s="85"/>
      <c r="AQ840" s="85"/>
      <c r="AR840" s="85"/>
      <c r="AS840" s="85"/>
      <c r="AT840" s="205"/>
      <c r="AU840" s="85"/>
      <c r="AV840" s="196"/>
      <c r="AW840" s="85"/>
      <c r="AX840" s="85"/>
      <c r="AY840" s="39">
        <v>0.05</v>
      </c>
      <c r="AZ840" s="7">
        <v>313</v>
      </c>
      <c r="BA840" s="62">
        <v>1</v>
      </c>
      <c r="BB840" s="7" t="s">
        <v>1152</v>
      </c>
      <c r="BC840" s="7" t="s">
        <v>1156</v>
      </c>
      <c r="BD840" s="7" t="s">
        <v>1157</v>
      </c>
      <c r="BE840" s="7" t="s">
        <v>1158</v>
      </c>
      <c r="BF840" s="39"/>
      <c r="BG840" s="7"/>
      <c r="BH840" s="62"/>
      <c r="BI840" s="7"/>
      <c r="BJ840" s="32">
        <v>1</v>
      </c>
      <c r="BK840" s="54"/>
    </row>
    <row r="841" spans="1:63" ht="23.25" customHeight="1" x14ac:dyDescent="0.2">
      <c r="A841" s="7">
        <v>840</v>
      </c>
      <c r="B841" s="221"/>
      <c r="C841" s="221"/>
      <c r="D841" s="223" t="s">
        <v>496</v>
      </c>
      <c r="E841" s="54" t="s">
        <v>1662</v>
      </c>
      <c r="F841" s="16">
        <f t="shared" ref="F841:F844" si="69">11/14*100</f>
        <v>78.571428571428569</v>
      </c>
      <c r="G841" s="8">
        <f t="shared" si="68"/>
        <v>14.285714285714285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17">
        <v>0</v>
      </c>
      <c r="T841" s="8">
        <f>(1-0.1)/14*100</f>
        <v>6.4285714285714297</v>
      </c>
      <c r="U841" s="8">
        <v>0</v>
      </c>
      <c r="V841" s="8">
        <f>0.1/14*100</f>
        <v>0.7142857142857143</v>
      </c>
      <c r="W841" s="8">
        <v>0</v>
      </c>
      <c r="X841" s="8">
        <v>0</v>
      </c>
      <c r="Y841" s="8">
        <v>0</v>
      </c>
      <c r="Z841" s="8">
        <v>0</v>
      </c>
      <c r="AA841" s="8">
        <v>0</v>
      </c>
      <c r="AB841" s="8">
        <v>0</v>
      </c>
      <c r="AC841" s="8">
        <v>0</v>
      </c>
      <c r="AD841" s="14">
        <f t="shared" si="64"/>
        <v>100</v>
      </c>
      <c r="AE841" s="8">
        <v>0</v>
      </c>
      <c r="AF841" s="8">
        <v>0</v>
      </c>
      <c r="AG841" s="8">
        <v>0</v>
      </c>
      <c r="AH841" s="8">
        <v>0</v>
      </c>
      <c r="AI841" s="39" t="s">
        <v>1531</v>
      </c>
      <c r="AJ841" s="7">
        <v>12</v>
      </c>
      <c r="AK841" s="62">
        <v>1423</v>
      </c>
      <c r="AL841" s="158"/>
      <c r="AM841" s="85"/>
      <c r="AN841" s="85"/>
      <c r="AO841" s="85"/>
      <c r="AP841" s="85"/>
      <c r="AQ841" s="85"/>
      <c r="AR841" s="85"/>
      <c r="AS841" s="85"/>
      <c r="AT841" s="205"/>
      <c r="AU841" s="85"/>
      <c r="AV841" s="196"/>
      <c r="AW841" s="85"/>
      <c r="AX841" s="85"/>
      <c r="AY841" s="39"/>
      <c r="AZ841" s="7"/>
      <c r="BA841" s="62"/>
      <c r="BB841" s="7" t="s">
        <v>1152</v>
      </c>
      <c r="BC841" s="7" t="s">
        <v>1160</v>
      </c>
      <c r="BD841" s="7"/>
      <c r="BE841" s="7"/>
      <c r="BF841" s="39"/>
      <c r="BG841" s="7"/>
      <c r="BH841" s="62"/>
      <c r="BI841" s="7"/>
      <c r="BJ841" s="32">
        <v>1</v>
      </c>
      <c r="BK841" s="54"/>
    </row>
    <row r="842" spans="1:63" ht="23.25" customHeight="1" x14ac:dyDescent="0.2">
      <c r="A842" s="62">
        <v>841</v>
      </c>
      <c r="B842" s="221"/>
      <c r="C842" s="221"/>
      <c r="D842" s="223"/>
      <c r="E842" s="54" t="s">
        <v>1663</v>
      </c>
      <c r="F842" s="16">
        <f t="shared" si="69"/>
        <v>78.571428571428569</v>
      </c>
      <c r="G842" s="8">
        <f t="shared" si="68"/>
        <v>14.285714285714285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17">
        <v>0</v>
      </c>
      <c r="T842" s="8">
        <f>(1-0.2)/14*100</f>
        <v>5.7142857142857144</v>
      </c>
      <c r="U842" s="8">
        <v>0</v>
      </c>
      <c r="V842" s="8">
        <f>0.2/14*100</f>
        <v>1.4285714285714286</v>
      </c>
      <c r="W842" s="8">
        <v>0</v>
      </c>
      <c r="X842" s="8">
        <v>0</v>
      </c>
      <c r="Y842" s="8">
        <v>0</v>
      </c>
      <c r="Z842" s="8">
        <v>0</v>
      </c>
      <c r="AA842" s="8">
        <v>0</v>
      </c>
      <c r="AB842" s="8">
        <v>0</v>
      </c>
      <c r="AC842" s="8">
        <v>0</v>
      </c>
      <c r="AD842" s="14">
        <f t="shared" si="64"/>
        <v>100</v>
      </c>
      <c r="AE842" s="8">
        <v>0</v>
      </c>
      <c r="AF842" s="8">
        <v>0</v>
      </c>
      <c r="AG842" s="8">
        <v>0</v>
      </c>
      <c r="AH842" s="8">
        <v>0</v>
      </c>
      <c r="AI842" s="39" t="s">
        <v>1531</v>
      </c>
      <c r="AJ842" s="7">
        <v>12</v>
      </c>
      <c r="AK842" s="62">
        <v>1423</v>
      </c>
      <c r="AL842" s="158"/>
      <c r="AM842" s="85"/>
      <c r="AN842" s="85"/>
      <c r="AO842" s="85"/>
      <c r="AP842" s="85"/>
      <c r="AQ842" s="85"/>
      <c r="AR842" s="85"/>
      <c r="AS842" s="85"/>
      <c r="AT842" s="205"/>
      <c r="AU842" s="85"/>
      <c r="AV842" s="196"/>
      <c r="AW842" s="85"/>
      <c r="AX842" s="85"/>
      <c r="AY842" s="39"/>
      <c r="AZ842" s="7"/>
      <c r="BA842" s="62"/>
      <c r="BB842" s="7" t="s">
        <v>1152</v>
      </c>
      <c r="BC842" s="7" t="s">
        <v>1161</v>
      </c>
      <c r="BD842" s="7"/>
      <c r="BE842" s="7"/>
      <c r="BF842" s="39"/>
      <c r="BG842" s="7"/>
      <c r="BH842" s="62"/>
      <c r="BI842" s="7"/>
      <c r="BJ842" s="32">
        <v>1</v>
      </c>
      <c r="BK842" s="54"/>
    </row>
    <row r="843" spans="1:63" ht="23.25" customHeight="1" x14ac:dyDescent="0.2">
      <c r="A843" s="7">
        <v>842</v>
      </c>
      <c r="B843" s="221"/>
      <c r="C843" s="221"/>
      <c r="D843" s="223"/>
      <c r="E843" s="54" t="s">
        <v>1664</v>
      </c>
      <c r="F843" s="16">
        <f t="shared" si="69"/>
        <v>78.571428571428569</v>
      </c>
      <c r="G843" s="8">
        <f t="shared" si="68"/>
        <v>14.285714285714285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17">
        <v>0</v>
      </c>
      <c r="T843" s="8">
        <f>(1-0.3)/14*100</f>
        <v>5</v>
      </c>
      <c r="U843" s="8">
        <v>0</v>
      </c>
      <c r="V843" s="8">
        <f>0.3/14*100</f>
        <v>2.1428571428571428</v>
      </c>
      <c r="W843" s="8">
        <v>0</v>
      </c>
      <c r="X843" s="8">
        <v>0</v>
      </c>
      <c r="Y843" s="8">
        <v>0</v>
      </c>
      <c r="Z843" s="8">
        <v>0</v>
      </c>
      <c r="AA843" s="8">
        <v>0</v>
      </c>
      <c r="AB843" s="8">
        <v>0</v>
      </c>
      <c r="AC843" s="8">
        <v>0</v>
      </c>
      <c r="AD843" s="14">
        <f t="shared" si="64"/>
        <v>100</v>
      </c>
      <c r="AE843" s="8">
        <v>0</v>
      </c>
      <c r="AF843" s="8">
        <v>0</v>
      </c>
      <c r="AG843" s="8">
        <v>0</v>
      </c>
      <c r="AH843" s="8">
        <v>0</v>
      </c>
      <c r="AI843" s="39" t="s">
        <v>1531</v>
      </c>
      <c r="AJ843" s="7">
        <v>12</v>
      </c>
      <c r="AK843" s="62">
        <v>1423</v>
      </c>
      <c r="AL843" s="158"/>
      <c r="AM843" s="85"/>
      <c r="AN843" s="85"/>
      <c r="AO843" s="85"/>
      <c r="AP843" s="85"/>
      <c r="AQ843" s="85"/>
      <c r="AR843" s="85"/>
      <c r="AS843" s="85"/>
      <c r="AT843" s="205"/>
      <c r="AU843" s="85"/>
      <c r="AV843" s="196"/>
      <c r="AW843" s="85"/>
      <c r="AX843" s="85"/>
      <c r="AY843" s="39"/>
      <c r="AZ843" s="7"/>
      <c r="BA843" s="62"/>
      <c r="BB843" s="7" t="s">
        <v>1152</v>
      </c>
      <c r="BC843" s="7" t="s">
        <v>1162</v>
      </c>
      <c r="BD843" s="7"/>
      <c r="BE843" s="7"/>
      <c r="BF843" s="39"/>
      <c r="BG843" s="7"/>
      <c r="BH843" s="62"/>
      <c r="BI843" s="7"/>
      <c r="BJ843" s="32">
        <v>1</v>
      </c>
      <c r="BK843" s="54"/>
    </row>
    <row r="844" spans="1:63" ht="23.25" customHeight="1" x14ac:dyDescent="0.2">
      <c r="A844" s="62">
        <v>843</v>
      </c>
      <c r="B844" s="221"/>
      <c r="C844" s="221"/>
      <c r="D844" s="223" t="s">
        <v>1151</v>
      </c>
      <c r="E844" s="54" t="s">
        <v>1662</v>
      </c>
      <c r="F844" s="16">
        <f t="shared" si="69"/>
        <v>78.571428571428569</v>
      </c>
      <c r="G844" s="8">
        <f t="shared" si="68"/>
        <v>14.285714285714285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17">
        <v>0</v>
      </c>
      <c r="T844" s="8">
        <f>(1-0.1)/14*100</f>
        <v>6.4285714285714297</v>
      </c>
      <c r="U844" s="8">
        <v>0</v>
      </c>
      <c r="V844" s="8">
        <f>0.1/14*100</f>
        <v>0.7142857142857143</v>
      </c>
      <c r="W844" s="8">
        <v>0</v>
      </c>
      <c r="X844" s="8">
        <v>0</v>
      </c>
      <c r="Y844" s="8">
        <v>0</v>
      </c>
      <c r="Z844" s="8">
        <v>0</v>
      </c>
      <c r="AA844" s="8">
        <v>0</v>
      </c>
      <c r="AB844" s="8">
        <v>0</v>
      </c>
      <c r="AC844" s="8">
        <v>0</v>
      </c>
      <c r="AD844" s="14">
        <f t="shared" si="64"/>
        <v>100</v>
      </c>
      <c r="AE844" s="8">
        <f t="shared" ref="AE844:AE846" si="70">1.8/14*100</f>
        <v>12.857142857142859</v>
      </c>
      <c r="AF844" s="8">
        <v>0</v>
      </c>
      <c r="AG844" s="8">
        <v>0</v>
      </c>
      <c r="AH844" s="8">
        <v>0</v>
      </c>
      <c r="AI844" s="39" t="s">
        <v>1531</v>
      </c>
      <c r="AJ844" s="7">
        <v>12</v>
      </c>
      <c r="AK844" s="62">
        <v>1423</v>
      </c>
      <c r="AL844" s="158"/>
      <c r="AM844" s="85"/>
      <c r="AN844" s="85"/>
      <c r="AO844" s="85"/>
      <c r="AP844" s="85"/>
      <c r="AQ844" s="85"/>
      <c r="AR844" s="85"/>
      <c r="AS844" s="85"/>
      <c r="AT844" s="205"/>
      <c r="AU844" s="85"/>
      <c r="AV844" s="196"/>
      <c r="AW844" s="85"/>
      <c r="AX844" s="85"/>
      <c r="AY844" s="39"/>
      <c r="AZ844" s="7"/>
      <c r="BA844" s="62"/>
      <c r="BB844" s="7" t="s">
        <v>1152</v>
      </c>
      <c r="BC844" s="7" t="s">
        <v>1164</v>
      </c>
      <c r="BD844" s="7"/>
      <c r="BE844" s="7"/>
      <c r="BF844" s="39"/>
      <c r="BG844" s="7"/>
      <c r="BH844" s="62"/>
      <c r="BI844" s="7"/>
      <c r="BJ844" s="32">
        <v>1</v>
      </c>
      <c r="BK844" s="54"/>
    </row>
    <row r="845" spans="1:63" ht="23.25" customHeight="1" x14ac:dyDescent="0.2">
      <c r="A845" s="7">
        <v>844</v>
      </c>
      <c r="B845" s="221"/>
      <c r="C845" s="221"/>
      <c r="D845" s="223"/>
      <c r="E845" s="54" t="s">
        <v>1663</v>
      </c>
      <c r="F845" s="16">
        <f>11/14*100</f>
        <v>78.571428571428569</v>
      </c>
      <c r="G845" s="8">
        <f t="shared" si="68"/>
        <v>14.285714285714285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17">
        <v>0</v>
      </c>
      <c r="T845" s="8">
        <f>(1-0.2)/14*100</f>
        <v>5.7142857142857144</v>
      </c>
      <c r="U845" s="8">
        <v>0</v>
      </c>
      <c r="V845" s="8">
        <f>0.2/14*100</f>
        <v>1.4285714285714286</v>
      </c>
      <c r="W845" s="8">
        <v>0</v>
      </c>
      <c r="X845" s="8">
        <v>0</v>
      </c>
      <c r="Y845" s="8">
        <v>0</v>
      </c>
      <c r="Z845" s="8">
        <v>0</v>
      </c>
      <c r="AA845" s="8">
        <v>0</v>
      </c>
      <c r="AB845" s="8">
        <v>0</v>
      </c>
      <c r="AC845" s="8">
        <v>0</v>
      </c>
      <c r="AD845" s="14">
        <f t="shared" si="64"/>
        <v>100</v>
      </c>
      <c r="AE845" s="8">
        <f t="shared" si="70"/>
        <v>12.857142857142859</v>
      </c>
      <c r="AF845" s="8">
        <v>0</v>
      </c>
      <c r="AG845" s="8">
        <v>0</v>
      </c>
      <c r="AH845" s="8">
        <v>0</v>
      </c>
      <c r="AI845" s="39" t="s">
        <v>1531</v>
      </c>
      <c r="AJ845" s="7">
        <v>12</v>
      </c>
      <c r="AK845" s="62">
        <v>1423</v>
      </c>
      <c r="AL845" s="158"/>
      <c r="AM845" s="85"/>
      <c r="AN845" s="85"/>
      <c r="AO845" s="85"/>
      <c r="AP845" s="85"/>
      <c r="AQ845" s="85"/>
      <c r="AR845" s="85"/>
      <c r="AS845" s="85"/>
      <c r="AT845" s="205"/>
      <c r="AU845" s="85"/>
      <c r="AV845" s="196"/>
      <c r="AW845" s="85"/>
      <c r="AX845" s="85"/>
      <c r="AY845" s="39"/>
      <c r="AZ845" s="7"/>
      <c r="BA845" s="62"/>
      <c r="BB845" s="7" t="s">
        <v>1152</v>
      </c>
      <c r="BC845" s="7" t="s">
        <v>1165</v>
      </c>
      <c r="BD845" s="7"/>
      <c r="BE845" s="7"/>
      <c r="BF845" s="39"/>
      <c r="BG845" s="7"/>
      <c r="BH845" s="62"/>
      <c r="BI845" s="7"/>
      <c r="BJ845" s="32">
        <v>1</v>
      </c>
      <c r="BK845" s="54"/>
    </row>
    <row r="846" spans="1:63" ht="23.25" customHeight="1" thickBot="1" x14ac:dyDescent="0.25">
      <c r="A846" s="62">
        <v>845</v>
      </c>
      <c r="B846" s="222"/>
      <c r="C846" s="222"/>
      <c r="D846" s="224"/>
      <c r="E846" s="54" t="s">
        <v>1664</v>
      </c>
      <c r="F846" s="16">
        <f>11/14*100</f>
        <v>78.571428571428569</v>
      </c>
      <c r="G846" s="8">
        <f t="shared" si="68"/>
        <v>14.285714285714285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17">
        <v>0</v>
      </c>
      <c r="T846" s="8">
        <f>(1-0.3)/14*100</f>
        <v>5</v>
      </c>
      <c r="U846" s="8">
        <v>0</v>
      </c>
      <c r="V846" s="8">
        <f>0.3/14*100</f>
        <v>2.1428571428571428</v>
      </c>
      <c r="W846" s="8">
        <v>0</v>
      </c>
      <c r="X846" s="8">
        <v>0</v>
      </c>
      <c r="Y846" s="8">
        <v>0</v>
      </c>
      <c r="Z846" s="8">
        <v>0</v>
      </c>
      <c r="AA846" s="8">
        <v>0</v>
      </c>
      <c r="AB846" s="8">
        <v>0</v>
      </c>
      <c r="AC846" s="8">
        <v>0</v>
      </c>
      <c r="AD846" s="14">
        <f t="shared" si="64"/>
        <v>100</v>
      </c>
      <c r="AE846" s="8">
        <f t="shared" si="70"/>
        <v>12.857142857142859</v>
      </c>
      <c r="AF846" s="8">
        <v>0</v>
      </c>
      <c r="AG846" s="8">
        <v>0</v>
      </c>
      <c r="AH846" s="8">
        <v>0</v>
      </c>
      <c r="AI846" s="39" t="s">
        <v>1531</v>
      </c>
      <c r="AJ846" s="7">
        <v>12</v>
      </c>
      <c r="AK846" s="62">
        <v>1423</v>
      </c>
      <c r="AL846" s="158"/>
      <c r="AM846" s="85"/>
      <c r="AN846" s="85"/>
      <c r="AO846" s="85"/>
      <c r="AP846" s="85"/>
      <c r="AQ846" s="85"/>
      <c r="AR846" s="85"/>
      <c r="AS846" s="85"/>
      <c r="AT846" s="205"/>
      <c r="AU846" s="85"/>
      <c r="AV846" s="196"/>
      <c r="AW846" s="85"/>
      <c r="AX846" s="85"/>
      <c r="AY846" s="39"/>
      <c r="AZ846" s="7"/>
      <c r="BA846" s="62"/>
      <c r="BB846" s="7" t="s">
        <v>1152</v>
      </c>
      <c r="BC846" s="7" t="s">
        <v>1166</v>
      </c>
      <c r="BD846" s="7"/>
      <c r="BE846" s="7"/>
      <c r="BF846" s="39"/>
      <c r="BG846" s="7"/>
      <c r="BH846" s="62"/>
      <c r="BI846" s="7"/>
      <c r="BJ846" s="32">
        <v>1</v>
      </c>
      <c r="BK846" s="54"/>
    </row>
    <row r="847" spans="1:63" s="4" customFormat="1" ht="23.25" customHeight="1" x14ac:dyDescent="0.2">
      <c r="A847" s="7">
        <v>846</v>
      </c>
      <c r="B847" s="218">
        <v>917</v>
      </c>
      <c r="C847" s="218" t="s">
        <v>1591</v>
      </c>
      <c r="D847" s="12" t="s">
        <v>1167</v>
      </c>
      <c r="E847" s="12"/>
      <c r="F847" s="87">
        <f>(11.06/(1+0.34+1.6+11.06))*100</f>
        <v>79</v>
      </c>
      <c r="G847" s="88">
        <f>(1.6/(1+0.34+1.6+11.06))*100</f>
        <v>11.428571428571429</v>
      </c>
      <c r="H847" s="88">
        <v>0</v>
      </c>
      <c r="I847" s="88">
        <v>0</v>
      </c>
      <c r="J847" s="88">
        <v>0</v>
      </c>
      <c r="K847" s="88">
        <v>0</v>
      </c>
      <c r="L847" s="88">
        <v>0</v>
      </c>
      <c r="M847" s="88">
        <v>0</v>
      </c>
      <c r="N847" s="88">
        <v>0</v>
      </c>
      <c r="O847" s="88">
        <v>0</v>
      </c>
      <c r="P847" s="88">
        <f>(0.34/(1+0.34+1.6+11.06))*100</f>
        <v>2.4285714285714288</v>
      </c>
      <c r="Q847" s="88">
        <v>0</v>
      </c>
      <c r="R847" s="88">
        <v>0</v>
      </c>
      <c r="S847" s="89">
        <v>0</v>
      </c>
      <c r="T847" s="88">
        <f>((0.7*1)/(1+0.34+11.06+1.6))*100</f>
        <v>5</v>
      </c>
      <c r="U847" s="88">
        <v>0</v>
      </c>
      <c r="V847" s="88">
        <f>((0.3*1)/(1+0.34+11.06+1.6))*100</f>
        <v>2.1428571428571428</v>
      </c>
      <c r="W847" s="88">
        <v>0</v>
      </c>
      <c r="X847" s="88">
        <v>0</v>
      </c>
      <c r="Y847" s="88">
        <v>0</v>
      </c>
      <c r="Z847" s="88">
        <v>0</v>
      </c>
      <c r="AA847" s="88">
        <v>0</v>
      </c>
      <c r="AB847" s="88">
        <v>0</v>
      </c>
      <c r="AC847" s="88">
        <v>0</v>
      </c>
      <c r="AD847" s="90">
        <f t="shared" si="64"/>
        <v>100</v>
      </c>
      <c r="AE847" s="88">
        <v>0</v>
      </c>
      <c r="AF847" s="88">
        <v>0</v>
      </c>
      <c r="AG847" s="88">
        <v>0</v>
      </c>
      <c r="AH847" s="88">
        <v>0</v>
      </c>
      <c r="AI847" s="156" t="s">
        <v>1531</v>
      </c>
      <c r="AJ847" s="45">
        <v>168</v>
      </c>
      <c r="AK847" s="91">
        <v>1323</v>
      </c>
      <c r="AL847" s="197">
        <v>93</v>
      </c>
      <c r="AM847" s="189">
        <v>7</v>
      </c>
      <c r="AN847" s="189">
        <v>0</v>
      </c>
      <c r="AO847" s="189">
        <v>0</v>
      </c>
      <c r="AP847" s="189"/>
      <c r="AQ847" s="189"/>
      <c r="AR847" s="189"/>
      <c r="AS847" s="189"/>
      <c r="AT847" s="198"/>
      <c r="AU847" s="189">
        <v>1</v>
      </c>
      <c r="AV847" s="199">
        <f>SUM(AL847:AO847)</f>
        <v>100</v>
      </c>
      <c r="AW847" s="189">
        <v>11.449299999999999</v>
      </c>
      <c r="AX847" s="189"/>
      <c r="AY847" s="156">
        <v>1</v>
      </c>
      <c r="AZ847" s="45">
        <v>101</v>
      </c>
      <c r="BA847" s="91">
        <v>1</v>
      </c>
      <c r="BB847" s="45" t="s">
        <v>523</v>
      </c>
      <c r="BC847" s="45" t="s">
        <v>1172</v>
      </c>
      <c r="BD847" s="45"/>
      <c r="BE847" s="45" t="s">
        <v>1177</v>
      </c>
      <c r="BF847" s="156"/>
      <c r="BG847" s="45"/>
      <c r="BH847" s="91"/>
      <c r="BI847" s="45"/>
      <c r="BJ847" s="67">
        <v>0</v>
      </c>
      <c r="BK847" s="12"/>
    </row>
    <row r="848" spans="1:63" ht="23.25" customHeight="1" x14ac:dyDescent="0.2">
      <c r="A848" s="62">
        <v>847</v>
      </c>
      <c r="B848" s="221"/>
      <c r="C848" s="221"/>
      <c r="D848" s="54" t="s">
        <v>1168</v>
      </c>
      <c r="E848" s="54"/>
      <c r="F848" s="16">
        <f>(11.06/(1.1+0.34+1.6+11.06))*100</f>
        <v>78.439716312056731</v>
      </c>
      <c r="G848" s="8">
        <f>(1.6/(1.1+0.34+1.6+11.06))*100</f>
        <v>11.347517730496454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f>(0.34/(1.1+0.34+1.6+11.06))*100</f>
        <v>2.4113475177304964</v>
      </c>
      <c r="Q848" s="8">
        <v>0</v>
      </c>
      <c r="R848" s="8">
        <v>0</v>
      </c>
      <c r="S848" s="17">
        <v>0</v>
      </c>
      <c r="T848" s="8">
        <f>((0.7*1.1)/(1.1+0.34+11.06+1.6))*100</f>
        <v>5.460992907801419</v>
      </c>
      <c r="U848" s="8">
        <v>0</v>
      </c>
      <c r="V848" s="8">
        <f>((0.3*1.1)/(1.1+0.34+11.06+1.6))*100</f>
        <v>2.3404255319148937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14">
        <f t="shared" si="64"/>
        <v>99.999999999999972</v>
      </c>
      <c r="AE848" s="8">
        <v>0</v>
      </c>
      <c r="AF848" s="8">
        <v>0</v>
      </c>
      <c r="AG848" s="8">
        <v>0</v>
      </c>
      <c r="AH848" s="8">
        <v>0</v>
      </c>
      <c r="AI848" s="39" t="s">
        <v>1531</v>
      </c>
      <c r="AJ848" s="7">
        <v>168</v>
      </c>
      <c r="AK848" s="62">
        <v>1323</v>
      </c>
      <c r="AL848" s="158">
        <v>99.1</v>
      </c>
      <c r="AM848" s="85">
        <v>0</v>
      </c>
      <c r="AN848" s="85">
        <v>0.9</v>
      </c>
      <c r="AO848" s="85">
        <v>0</v>
      </c>
      <c r="AP848" s="85"/>
      <c r="AQ848" s="85"/>
      <c r="AR848" s="85"/>
      <c r="AS848" s="85"/>
      <c r="AT848" s="205"/>
      <c r="AU848" s="85">
        <v>1</v>
      </c>
      <c r="AV848" s="196">
        <f t="shared" ref="AV848:AV851" si="71">SUM(AL848:AO848)</f>
        <v>100</v>
      </c>
      <c r="AW848" s="85">
        <v>11.452199999999999</v>
      </c>
      <c r="AX848" s="85"/>
      <c r="AY848" s="39">
        <v>1</v>
      </c>
      <c r="AZ848" s="7">
        <v>74</v>
      </c>
      <c r="BA848" s="62">
        <v>8</v>
      </c>
      <c r="BB848" s="7" t="s">
        <v>523</v>
      </c>
      <c r="BC848" s="7" t="s">
        <v>1173</v>
      </c>
      <c r="BD848" s="7"/>
      <c r="BE848" s="7" t="s">
        <v>1178</v>
      </c>
      <c r="BF848" s="39"/>
      <c r="BG848" s="7"/>
      <c r="BH848" s="62"/>
      <c r="BI848" s="7"/>
      <c r="BJ848" s="32">
        <v>0</v>
      </c>
      <c r="BK848" s="54"/>
    </row>
    <row r="849" spans="1:63" ht="23.25" customHeight="1" x14ac:dyDescent="0.2">
      <c r="A849" s="7">
        <v>848</v>
      </c>
      <c r="B849" s="221"/>
      <c r="C849" s="221"/>
      <c r="D849" s="54" t="s">
        <v>1169</v>
      </c>
      <c r="E849" s="54"/>
      <c r="F849" s="16">
        <f>(11.06/(1.1+0.34+1.6+11.06))*100</f>
        <v>78.439716312056731</v>
      </c>
      <c r="G849" s="8">
        <f>(1.6/(1.1+0.34+1.6+11.06))*100</f>
        <v>11.347517730496454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f>(0.34/(1.1+0.34+1.6+11.06))*100</f>
        <v>2.4113475177304964</v>
      </c>
      <c r="Q849" s="8">
        <v>0</v>
      </c>
      <c r="R849" s="8">
        <v>0</v>
      </c>
      <c r="S849" s="17">
        <v>0</v>
      </c>
      <c r="T849" s="8">
        <f>((0.6*1.1)/(1.1+0.34+11.06+1.6))*100</f>
        <v>4.6808510638297873</v>
      </c>
      <c r="U849" s="8">
        <v>0</v>
      </c>
      <c r="V849" s="8">
        <f>((0.4*1.1)/(1.1+0.34+11.06+1.6))*100</f>
        <v>3.1205673758865253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  <c r="AD849" s="14">
        <f t="shared" si="64"/>
        <v>99.999999999999986</v>
      </c>
      <c r="AE849" s="8">
        <v>0</v>
      </c>
      <c r="AF849" s="8">
        <v>0</v>
      </c>
      <c r="AG849" s="8">
        <v>0</v>
      </c>
      <c r="AH849" s="8">
        <v>0</v>
      </c>
      <c r="AI849" s="39" t="s">
        <v>1531</v>
      </c>
      <c r="AJ849" s="7">
        <v>168</v>
      </c>
      <c r="AK849" s="62">
        <v>1323</v>
      </c>
      <c r="AL849" s="158">
        <v>87.8</v>
      </c>
      <c r="AM849" s="85">
        <v>1.5</v>
      </c>
      <c r="AN849" s="85">
        <v>1</v>
      </c>
      <c r="AO849" s="85">
        <v>9.6999999999999993</v>
      </c>
      <c r="AP849" s="85"/>
      <c r="AQ849" s="85"/>
      <c r="AR849" s="85"/>
      <c r="AS849" s="85"/>
      <c r="AT849" s="205"/>
      <c r="AU849" s="85">
        <v>1</v>
      </c>
      <c r="AV849" s="196">
        <f t="shared" si="71"/>
        <v>100</v>
      </c>
      <c r="AW849" s="85">
        <v>11.45</v>
      </c>
      <c r="AX849" s="85"/>
      <c r="AY849" s="39">
        <v>1</v>
      </c>
      <c r="AZ849" s="7">
        <v>64</v>
      </c>
      <c r="BA849" s="62">
        <v>1.5</v>
      </c>
      <c r="BB849" s="7" t="s">
        <v>523</v>
      </c>
      <c r="BC849" s="7" t="s">
        <v>1174</v>
      </c>
      <c r="BD849" s="7"/>
      <c r="BE849" s="7" t="s">
        <v>1179</v>
      </c>
      <c r="BF849" s="39"/>
      <c r="BG849" s="7"/>
      <c r="BH849" s="62"/>
      <c r="BI849" s="7"/>
      <c r="BJ849" s="32">
        <v>0</v>
      </c>
      <c r="BK849" s="54"/>
    </row>
    <row r="850" spans="1:63" ht="23.25" customHeight="1" x14ac:dyDescent="0.2">
      <c r="A850" s="62">
        <v>849</v>
      </c>
      <c r="B850" s="221"/>
      <c r="C850" s="221"/>
      <c r="D850" s="54" t="s">
        <v>1170</v>
      </c>
      <c r="E850" s="54"/>
      <c r="F850" s="16">
        <f>(11.06/(1+0.4+1.6+11.06))*100</f>
        <v>78.662873399715508</v>
      </c>
      <c r="G850" s="8">
        <f>(1.6/(1+0.4+1.6+11.06))*100</f>
        <v>11.379800853485063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f>(0.4/(1+0.4+1.6+11.06))*100</f>
        <v>2.8449502133712659</v>
      </c>
      <c r="Q850" s="8">
        <v>0</v>
      </c>
      <c r="R850" s="8">
        <v>0</v>
      </c>
      <c r="S850" s="17">
        <v>0</v>
      </c>
      <c r="T850" s="8">
        <f>((0.6*1)/(1+0.4+11.06+1.6))*100</f>
        <v>4.2674253200568986</v>
      </c>
      <c r="U850" s="8">
        <v>0</v>
      </c>
      <c r="V850" s="8">
        <f>((0.4*1)/(1+0.4+11.06+1.6))*100</f>
        <v>2.8449502133712659</v>
      </c>
      <c r="W850" s="8">
        <v>0</v>
      </c>
      <c r="X850" s="8">
        <v>0</v>
      </c>
      <c r="Y850" s="8">
        <v>0</v>
      </c>
      <c r="Z850" s="8">
        <v>0</v>
      </c>
      <c r="AA850" s="8">
        <v>0</v>
      </c>
      <c r="AB850" s="8">
        <v>0</v>
      </c>
      <c r="AC850" s="8">
        <v>0</v>
      </c>
      <c r="AD850" s="14">
        <f t="shared" si="64"/>
        <v>100</v>
      </c>
      <c r="AE850" s="8">
        <v>0</v>
      </c>
      <c r="AF850" s="8">
        <v>0</v>
      </c>
      <c r="AG850" s="8">
        <v>0</v>
      </c>
      <c r="AH850" s="8">
        <v>0</v>
      </c>
      <c r="AI850" s="39" t="s">
        <v>1531</v>
      </c>
      <c r="AJ850" s="7">
        <v>168</v>
      </c>
      <c r="AK850" s="62">
        <v>1323</v>
      </c>
      <c r="AL850" s="158">
        <v>85.7</v>
      </c>
      <c r="AM850" s="85">
        <v>7.6</v>
      </c>
      <c r="AN850" s="85">
        <v>1</v>
      </c>
      <c r="AO850" s="85">
        <v>5.7</v>
      </c>
      <c r="AP850" s="85"/>
      <c r="AQ850" s="85"/>
      <c r="AR850" s="85"/>
      <c r="AS850" s="85"/>
      <c r="AT850" s="205"/>
      <c r="AU850" s="85">
        <v>1</v>
      </c>
      <c r="AV850" s="196">
        <f>SUM(AL850:AO850)</f>
        <v>100</v>
      </c>
      <c r="AW850" s="85">
        <v>11.45</v>
      </c>
      <c r="AX850" s="85"/>
      <c r="AY850" s="39">
        <v>1</v>
      </c>
      <c r="AZ850" s="7">
        <v>69</v>
      </c>
      <c r="BA850" s="62">
        <v>0</v>
      </c>
      <c r="BB850" s="7" t="s">
        <v>523</v>
      </c>
      <c r="BC850" s="7" t="s">
        <v>1175</v>
      </c>
      <c r="BD850" s="7"/>
      <c r="BE850" s="7" t="s">
        <v>1181</v>
      </c>
      <c r="BF850" s="39"/>
      <c r="BG850" s="7"/>
      <c r="BH850" s="62"/>
      <c r="BI850" s="7"/>
      <c r="BJ850" s="32">
        <v>0</v>
      </c>
      <c r="BK850" s="54"/>
    </row>
    <row r="851" spans="1:63" s="6" customFormat="1" ht="23.25" customHeight="1" thickBot="1" x14ac:dyDescent="0.25">
      <c r="A851" s="7">
        <v>850</v>
      </c>
      <c r="B851" s="222"/>
      <c r="C851" s="222"/>
      <c r="D851" s="13" t="s">
        <v>1171</v>
      </c>
      <c r="E851" s="13"/>
      <c r="F851" s="80">
        <f>(11.06/(1.1+0.4+1.6+11.06))*100</f>
        <v>78.10734463276836</v>
      </c>
      <c r="G851" s="81">
        <f>(1.6/(1.1+0.4+1.6+11.06))*100</f>
        <v>11.299435028248588</v>
      </c>
      <c r="H851" s="81">
        <v>0</v>
      </c>
      <c r="I851" s="81">
        <v>0</v>
      </c>
      <c r="J851" s="81">
        <v>0</v>
      </c>
      <c r="K851" s="81">
        <v>0</v>
      </c>
      <c r="L851" s="81">
        <v>0</v>
      </c>
      <c r="M851" s="81">
        <v>0</v>
      </c>
      <c r="N851" s="81">
        <v>0</v>
      </c>
      <c r="O851" s="81">
        <v>0</v>
      </c>
      <c r="P851" s="81">
        <f>(0.4/(1.1+0.4+1.6+11.06))*100</f>
        <v>2.8248587570621471</v>
      </c>
      <c r="Q851" s="81">
        <v>0</v>
      </c>
      <c r="R851" s="81">
        <v>0</v>
      </c>
      <c r="S851" s="82">
        <v>0</v>
      </c>
      <c r="T851" s="81">
        <f>((0.6*1.1)/(1.1+0.4+11.06+1.6))*100</f>
        <v>4.6610169491525424</v>
      </c>
      <c r="U851" s="81">
        <v>0</v>
      </c>
      <c r="V851" s="81">
        <f>((0.4*1.1)/(1.1+0.4+11.06+1.6))*100</f>
        <v>3.107344632768362</v>
      </c>
      <c r="W851" s="81">
        <v>0</v>
      </c>
      <c r="X851" s="81">
        <v>0</v>
      </c>
      <c r="Y851" s="81">
        <v>0</v>
      </c>
      <c r="Z851" s="81">
        <v>0</v>
      </c>
      <c r="AA851" s="81">
        <v>0</v>
      </c>
      <c r="AB851" s="81">
        <v>0</v>
      </c>
      <c r="AC851" s="81">
        <v>0</v>
      </c>
      <c r="AD851" s="83">
        <f t="shared" si="64"/>
        <v>99.999999999999986</v>
      </c>
      <c r="AE851" s="81">
        <v>0</v>
      </c>
      <c r="AF851" s="81">
        <v>0</v>
      </c>
      <c r="AG851" s="81">
        <v>0</v>
      </c>
      <c r="AH851" s="81">
        <v>0</v>
      </c>
      <c r="AI851" s="79" t="s">
        <v>1531</v>
      </c>
      <c r="AJ851" s="65">
        <v>168</v>
      </c>
      <c r="AK851" s="78">
        <v>1323</v>
      </c>
      <c r="AL851" s="200">
        <v>83.7</v>
      </c>
      <c r="AM851" s="190">
        <v>7.4</v>
      </c>
      <c r="AN851" s="190">
        <v>1</v>
      </c>
      <c r="AO851" s="190">
        <v>7.9</v>
      </c>
      <c r="AP851" s="190"/>
      <c r="AQ851" s="190"/>
      <c r="AR851" s="190"/>
      <c r="AS851" s="190"/>
      <c r="AT851" s="201"/>
      <c r="AU851" s="190">
        <v>1</v>
      </c>
      <c r="AV851" s="202">
        <f t="shared" si="71"/>
        <v>100.00000000000001</v>
      </c>
      <c r="AW851" s="190">
        <v>11.4495</v>
      </c>
      <c r="AX851" s="190"/>
      <c r="AY851" s="79">
        <v>1</v>
      </c>
      <c r="AZ851" s="65">
        <v>31</v>
      </c>
      <c r="BA851" s="78">
        <v>1</v>
      </c>
      <c r="BB851" s="65" t="s">
        <v>523</v>
      </c>
      <c r="BC851" s="65" t="s">
        <v>1176</v>
      </c>
      <c r="BD851" s="65"/>
      <c r="BE851" s="65" t="s">
        <v>1180</v>
      </c>
      <c r="BF851" s="79"/>
      <c r="BG851" s="65"/>
      <c r="BH851" s="78"/>
      <c r="BI851" s="65"/>
      <c r="BJ851" s="68">
        <v>0</v>
      </c>
      <c r="BK851" s="13"/>
    </row>
    <row r="852" spans="1:63" ht="23.25" customHeight="1" x14ac:dyDescent="0.2">
      <c r="A852" s="62">
        <v>851</v>
      </c>
      <c r="B852" s="218">
        <v>920</v>
      </c>
      <c r="C852" s="218" t="s">
        <v>1592</v>
      </c>
      <c r="D852" s="225" t="s">
        <v>1182</v>
      </c>
      <c r="E852" s="54" t="s">
        <v>1679</v>
      </c>
      <c r="F852" s="16">
        <f t="shared" ref="F852" si="72">11.4/14*100</f>
        <v>81.428571428571431</v>
      </c>
      <c r="G852" s="8">
        <f>1.6/14*100</f>
        <v>11.428571428571429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17">
        <v>0</v>
      </c>
      <c r="T852" s="8">
        <f>1/14*100</f>
        <v>7.1428571428571423</v>
      </c>
      <c r="U852" s="8">
        <v>0</v>
      </c>
      <c r="V852" s="8">
        <v>0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14">
        <f t="shared" si="64"/>
        <v>100</v>
      </c>
      <c r="AE852" s="8">
        <v>0</v>
      </c>
      <c r="AF852" s="8">
        <v>0</v>
      </c>
      <c r="AG852" s="8">
        <v>0</v>
      </c>
      <c r="AH852" s="8">
        <v>0</v>
      </c>
      <c r="AI852" s="39" t="s">
        <v>1531</v>
      </c>
      <c r="AJ852" s="7">
        <v>240</v>
      </c>
      <c r="AK852" s="62">
        <v>1323</v>
      </c>
      <c r="AL852" s="158"/>
      <c r="AM852" s="85"/>
      <c r="AN852" s="85"/>
      <c r="AO852" s="85"/>
      <c r="AP852" s="85"/>
      <c r="AQ852" s="85"/>
      <c r="AR852" s="85"/>
      <c r="AS852" s="85"/>
      <c r="AT852" s="205"/>
      <c r="AU852" s="85"/>
      <c r="AV852" s="196"/>
      <c r="AW852" s="85"/>
      <c r="AX852" s="85"/>
      <c r="AY852" s="39">
        <v>0.05</v>
      </c>
      <c r="AZ852" s="7">
        <v>198.9</v>
      </c>
      <c r="BA852" s="62">
        <v>2.6</v>
      </c>
      <c r="BB852" s="7" t="s">
        <v>523</v>
      </c>
      <c r="BC852" s="7" t="s">
        <v>1188</v>
      </c>
      <c r="BD852" s="7"/>
      <c r="BE852" s="85" t="s">
        <v>1183</v>
      </c>
      <c r="BF852" s="39"/>
      <c r="BG852" s="7"/>
      <c r="BH852" s="62"/>
      <c r="BI852" s="7"/>
      <c r="BJ852" s="32">
        <v>1</v>
      </c>
      <c r="BK852" s="54"/>
    </row>
    <row r="853" spans="1:63" ht="23.25" customHeight="1" x14ac:dyDescent="0.2">
      <c r="A853" s="7">
        <v>852</v>
      </c>
      <c r="B853" s="221"/>
      <c r="C853" s="221"/>
      <c r="D853" s="223"/>
      <c r="E853" s="54" t="s">
        <v>1681</v>
      </c>
      <c r="F853" s="16">
        <f>11.45/14*100</f>
        <v>81.785714285714278</v>
      </c>
      <c r="G853" s="8">
        <f t="shared" ref="G853:G856" si="73">1.6/14*100</f>
        <v>11.428571428571429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17">
        <v>0</v>
      </c>
      <c r="T853" s="8">
        <f>(1-0.05)/14*100</f>
        <v>6.7857142857142856</v>
      </c>
      <c r="U853" s="8">
        <v>0</v>
      </c>
      <c r="V853" s="8">
        <v>0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14">
        <f t="shared" si="64"/>
        <v>100</v>
      </c>
      <c r="AE853" s="8">
        <v>0</v>
      </c>
      <c r="AF853" s="8">
        <v>0</v>
      </c>
      <c r="AG853" s="8">
        <v>0</v>
      </c>
      <c r="AH853" s="8">
        <v>0</v>
      </c>
      <c r="AI853" s="39" t="s">
        <v>1531</v>
      </c>
      <c r="AJ853" s="7">
        <v>240</v>
      </c>
      <c r="AK853" s="62">
        <v>1323</v>
      </c>
      <c r="AL853" s="158"/>
      <c r="AM853" s="85"/>
      <c r="AN853" s="85"/>
      <c r="AO853" s="85"/>
      <c r="AP853" s="85"/>
      <c r="AQ853" s="85"/>
      <c r="AR853" s="85"/>
      <c r="AS853" s="85"/>
      <c r="AT853" s="205"/>
      <c r="AU853" s="85"/>
      <c r="AV853" s="196"/>
      <c r="AW853" s="85"/>
      <c r="AX853" s="85"/>
      <c r="AY853" s="39">
        <v>0.05</v>
      </c>
      <c r="AZ853" s="7">
        <v>203.2</v>
      </c>
      <c r="BA853" s="62">
        <v>4.0999999999999996</v>
      </c>
      <c r="BB853" s="7" t="s">
        <v>523</v>
      </c>
      <c r="BC853" s="7" t="s">
        <v>1189</v>
      </c>
      <c r="BD853" s="7"/>
      <c r="BE853" s="85" t="s">
        <v>1184</v>
      </c>
      <c r="BF853" s="39"/>
      <c r="BG853" s="7"/>
      <c r="BH853" s="62"/>
      <c r="BI853" s="7"/>
      <c r="BJ853" s="32">
        <v>1</v>
      </c>
      <c r="BK853" s="54"/>
    </row>
    <row r="854" spans="1:63" ht="23.25" customHeight="1" x14ac:dyDescent="0.2">
      <c r="A854" s="62">
        <v>853</v>
      </c>
      <c r="B854" s="221"/>
      <c r="C854" s="221"/>
      <c r="D854" s="223"/>
      <c r="E854" s="54" t="s">
        <v>1662</v>
      </c>
      <c r="F854" s="16">
        <f>11.5/14*100</f>
        <v>82.142857142857139</v>
      </c>
      <c r="G854" s="8">
        <f t="shared" si="73"/>
        <v>11.428571428571429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17">
        <v>0</v>
      </c>
      <c r="T854" s="8">
        <f>(1-0.1)/14*100</f>
        <v>6.4285714285714297</v>
      </c>
      <c r="U854" s="8">
        <v>0</v>
      </c>
      <c r="V854" s="8">
        <v>0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14">
        <f t="shared" si="64"/>
        <v>100</v>
      </c>
      <c r="AE854" s="8">
        <v>0</v>
      </c>
      <c r="AF854" s="8">
        <v>0</v>
      </c>
      <c r="AG854" s="8">
        <v>0</v>
      </c>
      <c r="AH854" s="8">
        <v>0</v>
      </c>
      <c r="AI854" s="39" t="s">
        <v>1531</v>
      </c>
      <c r="AJ854" s="7">
        <v>240</v>
      </c>
      <c r="AK854" s="62">
        <v>1323</v>
      </c>
      <c r="AL854" s="158"/>
      <c r="AM854" s="85"/>
      <c r="AN854" s="85"/>
      <c r="AO854" s="85"/>
      <c r="AP854" s="85"/>
      <c r="AQ854" s="85"/>
      <c r="AR854" s="85"/>
      <c r="AS854" s="85"/>
      <c r="AT854" s="205"/>
      <c r="AU854" s="85"/>
      <c r="AV854" s="196"/>
      <c r="AW854" s="85"/>
      <c r="AX854" s="85"/>
      <c r="AY854" s="39">
        <v>0.05</v>
      </c>
      <c r="AZ854" s="7">
        <v>205.2</v>
      </c>
      <c r="BA854" s="62">
        <v>2.2999999999999998</v>
      </c>
      <c r="BB854" s="7" t="s">
        <v>523</v>
      </c>
      <c r="BC854" s="7" t="s">
        <v>1190</v>
      </c>
      <c r="BD854" s="7"/>
      <c r="BE854" s="85" t="s">
        <v>1185</v>
      </c>
      <c r="BF854" s="39"/>
      <c r="BG854" s="7"/>
      <c r="BH854" s="62"/>
      <c r="BI854" s="7"/>
      <c r="BJ854" s="32">
        <v>1</v>
      </c>
      <c r="BK854" s="54"/>
    </row>
    <row r="855" spans="1:63" ht="23.25" customHeight="1" x14ac:dyDescent="0.2">
      <c r="A855" s="7">
        <v>854</v>
      </c>
      <c r="B855" s="221"/>
      <c r="C855" s="221"/>
      <c r="D855" s="223"/>
      <c r="E855" s="54" t="s">
        <v>1665</v>
      </c>
      <c r="F855" s="16">
        <f>11.55/14*100</f>
        <v>82.5</v>
      </c>
      <c r="G855" s="8">
        <f t="shared" si="73"/>
        <v>11.428571428571429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17">
        <v>0</v>
      </c>
      <c r="T855" s="8">
        <f>(1-0.15)/14*100</f>
        <v>6.0714285714285712</v>
      </c>
      <c r="U855" s="8">
        <v>0</v>
      </c>
      <c r="V855" s="8">
        <v>0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14">
        <f t="shared" si="64"/>
        <v>100</v>
      </c>
      <c r="AE855" s="8">
        <v>0</v>
      </c>
      <c r="AF855" s="8">
        <v>0</v>
      </c>
      <c r="AG855" s="8">
        <v>0</v>
      </c>
      <c r="AH855" s="8">
        <v>0</v>
      </c>
      <c r="AI855" s="39" t="s">
        <v>1531</v>
      </c>
      <c r="AJ855" s="7">
        <v>240</v>
      </c>
      <c r="AK855" s="62">
        <v>1323</v>
      </c>
      <c r="AL855" s="158"/>
      <c r="AM855" s="85"/>
      <c r="AN855" s="85"/>
      <c r="AO855" s="85"/>
      <c r="AP855" s="85"/>
      <c r="AQ855" s="85"/>
      <c r="AR855" s="85"/>
      <c r="AS855" s="85"/>
      <c r="AT855" s="205"/>
      <c r="AU855" s="85"/>
      <c r="AV855" s="196"/>
      <c r="AW855" s="85"/>
      <c r="AX855" s="85"/>
      <c r="AY855" s="39">
        <v>0.05</v>
      </c>
      <c r="AZ855" s="7">
        <v>205.8</v>
      </c>
      <c r="BA855" s="62">
        <v>2.4</v>
      </c>
      <c r="BB855" s="7" t="s">
        <v>523</v>
      </c>
      <c r="BC855" s="7" t="s">
        <v>1191</v>
      </c>
      <c r="BD855" s="7"/>
      <c r="BE855" s="85" t="s">
        <v>1186</v>
      </c>
      <c r="BF855" s="39"/>
      <c r="BG855" s="7"/>
      <c r="BH855" s="62"/>
      <c r="BI855" s="7"/>
      <c r="BJ855" s="32">
        <v>1</v>
      </c>
      <c r="BK855" s="54"/>
    </row>
    <row r="856" spans="1:63" ht="23.25" customHeight="1" thickBot="1" x14ac:dyDescent="0.25">
      <c r="A856" s="62">
        <v>855</v>
      </c>
      <c r="B856" s="222"/>
      <c r="C856" s="222"/>
      <c r="D856" s="224"/>
      <c r="E856" s="54" t="s">
        <v>1663</v>
      </c>
      <c r="F856" s="16">
        <f>11.6/14*100</f>
        <v>82.857142857142847</v>
      </c>
      <c r="G856" s="8">
        <f t="shared" si="73"/>
        <v>11.428571428571429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17">
        <v>0</v>
      </c>
      <c r="T856" s="8">
        <f>(1-0.2)/14*100</f>
        <v>5.7142857142857144</v>
      </c>
      <c r="U856" s="8">
        <v>0</v>
      </c>
      <c r="V856" s="8">
        <v>0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14">
        <f t="shared" si="64"/>
        <v>99.999999999999986</v>
      </c>
      <c r="AE856" s="8">
        <v>0</v>
      </c>
      <c r="AF856" s="8">
        <v>0</v>
      </c>
      <c r="AG856" s="8">
        <v>0</v>
      </c>
      <c r="AH856" s="8">
        <v>0</v>
      </c>
      <c r="AI856" s="39" t="s">
        <v>1531</v>
      </c>
      <c r="AJ856" s="7">
        <v>240</v>
      </c>
      <c r="AK856" s="62">
        <v>1323</v>
      </c>
      <c r="AL856" s="158"/>
      <c r="AM856" s="85"/>
      <c r="AN856" s="85"/>
      <c r="AO856" s="85"/>
      <c r="AP856" s="85"/>
      <c r="AQ856" s="85"/>
      <c r="AR856" s="85"/>
      <c r="AS856" s="85"/>
      <c r="AT856" s="205"/>
      <c r="AU856" s="85"/>
      <c r="AV856" s="196"/>
      <c r="AW856" s="85"/>
      <c r="AX856" s="85"/>
      <c r="AY856" s="39">
        <v>0.05</v>
      </c>
      <c r="AZ856" s="7">
        <v>218.2</v>
      </c>
      <c r="BA856" s="62">
        <v>0.9</v>
      </c>
      <c r="BB856" s="7" t="s">
        <v>523</v>
      </c>
      <c r="BC856" s="7" t="s">
        <v>1192</v>
      </c>
      <c r="BD856" s="7"/>
      <c r="BE856" s="85" t="s">
        <v>1187</v>
      </c>
      <c r="BF856" s="39"/>
      <c r="BG856" s="7"/>
      <c r="BH856" s="62"/>
      <c r="BI856" s="7"/>
      <c r="BJ856" s="32">
        <v>1</v>
      </c>
      <c r="BK856" s="54"/>
    </row>
    <row r="857" spans="1:63" s="4" customFormat="1" ht="23.25" customHeight="1" x14ac:dyDescent="0.2">
      <c r="A857" s="7">
        <v>856</v>
      </c>
      <c r="B857" s="218">
        <v>921</v>
      </c>
      <c r="C857" s="218" t="s">
        <v>1593</v>
      </c>
      <c r="D857" s="225" t="s">
        <v>1193</v>
      </c>
      <c r="E857" s="12" t="s">
        <v>1709</v>
      </c>
      <c r="F857" s="87">
        <f>11.5/14*100</f>
        <v>82.142857142857139</v>
      </c>
      <c r="G857" s="88">
        <f>1.5/14*100</f>
        <v>10.714285714285714</v>
      </c>
      <c r="H857" s="88">
        <v>0</v>
      </c>
      <c r="I857" s="88">
        <v>0</v>
      </c>
      <c r="J857" s="88">
        <v>0</v>
      </c>
      <c r="K857" s="88">
        <v>0</v>
      </c>
      <c r="L857" s="88">
        <v>0</v>
      </c>
      <c r="M857" s="88">
        <v>0</v>
      </c>
      <c r="N857" s="88">
        <v>0</v>
      </c>
      <c r="O857" s="88">
        <v>0</v>
      </c>
      <c r="P857" s="88">
        <v>0</v>
      </c>
      <c r="Q857" s="88">
        <v>0</v>
      </c>
      <c r="R857" s="88">
        <v>0</v>
      </c>
      <c r="S857" s="89">
        <v>0</v>
      </c>
      <c r="T857" s="88">
        <f>1/14*100</f>
        <v>7.1428571428571423</v>
      </c>
      <c r="U857" s="88">
        <v>0</v>
      </c>
      <c r="V857" s="88">
        <v>0</v>
      </c>
      <c r="W857" s="88">
        <v>0</v>
      </c>
      <c r="X857" s="88">
        <v>0</v>
      </c>
      <c r="Y857" s="88">
        <v>0</v>
      </c>
      <c r="Z857" s="88">
        <v>0</v>
      </c>
      <c r="AA857" s="88">
        <v>0</v>
      </c>
      <c r="AB857" s="88">
        <v>0</v>
      </c>
      <c r="AC857" s="88">
        <v>0</v>
      </c>
      <c r="AD857" s="90">
        <f t="shared" si="64"/>
        <v>99.999999999999986</v>
      </c>
      <c r="AE857" s="88">
        <v>0</v>
      </c>
      <c r="AF857" s="88">
        <v>0</v>
      </c>
      <c r="AG857" s="88">
        <v>0</v>
      </c>
      <c r="AH857" s="88">
        <v>0</v>
      </c>
      <c r="AI857" s="156" t="s">
        <v>1531</v>
      </c>
      <c r="AJ857" s="45">
        <v>100</v>
      </c>
      <c r="AK857" s="91">
        <v>1423</v>
      </c>
      <c r="AL857" s="197"/>
      <c r="AM857" s="189"/>
      <c r="AN857" s="189"/>
      <c r="AO857" s="189"/>
      <c r="AP857" s="189"/>
      <c r="AQ857" s="189"/>
      <c r="AR857" s="189"/>
      <c r="AS857" s="189"/>
      <c r="AT857" s="198"/>
      <c r="AU857" s="189"/>
      <c r="AV857" s="199"/>
      <c r="AW857" s="189"/>
      <c r="AX857" s="189"/>
      <c r="AY857" s="156">
        <v>0.05</v>
      </c>
      <c r="AZ857" s="45">
        <v>198.1</v>
      </c>
      <c r="BA857" s="91">
        <v>3.5</v>
      </c>
      <c r="BB857" s="45">
        <v>3</v>
      </c>
      <c r="BC857" s="45">
        <v>17.100000000000001</v>
      </c>
      <c r="BD857" s="45"/>
      <c r="BE857" s="45">
        <v>13.8</v>
      </c>
      <c r="BF857" s="156"/>
      <c r="BG857" s="45"/>
      <c r="BH857" s="91"/>
      <c r="BI857" s="45"/>
      <c r="BJ857" s="67">
        <v>1</v>
      </c>
      <c r="BK857" s="12"/>
    </row>
    <row r="858" spans="1:63" ht="23.25" customHeight="1" x14ac:dyDescent="0.2">
      <c r="A858" s="62">
        <v>857</v>
      </c>
      <c r="B858" s="221"/>
      <c r="C858" s="221"/>
      <c r="D858" s="223"/>
      <c r="E858" s="54" t="s">
        <v>1710</v>
      </c>
      <c r="F858" s="16">
        <f>11.5/14.1*100</f>
        <v>81.560283687943269</v>
      </c>
      <c r="G858" s="8">
        <f>1.5/14.1*100</f>
        <v>10.638297872340425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>
        <v>0</v>
      </c>
      <c r="S858" s="17">
        <v>0</v>
      </c>
      <c r="T858" s="8">
        <f>1.1/14.1*100</f>
        <v>7.8014184397163122</v>
      </c>
      <c r="U858" s="8">
        <v>0</v>
      </c>
      <c r="V858" s="8">
        <v>0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  <c r="AB858" s="8">
        <v>0</v>
      </c>
      <c r="AC858" s="8">
        <v>0</v>
      </c>
      <c r="AD858" s="14">
        <f t="shared" si="64"/>
        <v>100.00000000000001</v>
      </c>
      <c r="AE858" s="8">
        <v>0</v>
      </c>
      <c r="AF858" s="8">
        <v>0</v>
      </c>
      <c r="AG858" s="8">
        <v>0</v>
      </c>
      <c r="AH858" s="8">
        <v>0</v>
      </c>
      <c r="AI858" s="39" t="s">
        <v>1531</v>
      </c>
      <c r="AJ858" s="7">
        <v>100</v>
      </c>
      <c r="AK858" s="62">
        <v>1423</v>
      </c>
      <c r="AL858" s="158"/>
      <c r="AM858" s="85"/>
      <c r="AN858" s="85"/>
      <c r="AO858" s="85"/>
      <c r="AP858" s="85"/>
      <c r="AQ858" s="85"/>
      <c r="AR858" s="85"/>
      <c r="AS858" s="85"/>
      <c r="AT858" s="205"/>
      <c r="AU858" s="85"/>
      <c r="AV858" s="196"/>
      <c r="AW858" s="85"/>
      <c r="AX858" s="85"/>
      <c r="AY858" s="39">
        <v>0.05</v>
      </c>
      <c r="AZ858" s="7">
        <v>192.5</v>
      </c>
      <c r="BA858" s="62">
        <v>3.4</v>
      </c>
      <c r="BB858" s="7">
        <v>3</v>
      </c>
      <c r="BC858" s="7">
        <v>18.3</v>
      </c>
      <c r="BD858" s="7"/>
      <c r="BE858" s="7">
        <v>13.8</v>
      </c>
      <c r="BF858" s="39"/>
      <c r="BG858" s="7"/>
      <c r="BH858" s="62"/>
      <c r="BI858" s="7"/>
      <c r="BJ858" s="32">
        <v>1</v>
      </c>
      <c r="BK858" s="54"/>
    </row>
    <row r="859" spans="1:63" ht="23.25" customHeight="1" x14ac:dyDescent="0.2">
      <c r="A859" s="7">
        <v>858</v>
      </c>
      <c r="B859" s="221"/>
      <c r="C859" s="221"/>
      <c r="D859" s="223"/>
      <c r="E859" s="54" t="s">
        <v>1669</v>
      </c>
      <c r="F859" s="16">
        <f>11.5/14.2*100</f>
        <v>80.985915492957744</v>
      </c>
      <c r="G859" s="8">
        <f>1.5/14.2*100</f>
        <v>10.563380281690142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>
        <v>0</v>
      </c>
      <c r="S859" s="17">
        <v>0</v>
      </c>
      <c r="T859" s="8">
        <f>1.2/14.2*100</f>
        <v>8.4507042253521121</v>
      </c>
      <c r="U859" s="8">
        <v>0</v>
      </c>
      <c r="V859" s="8">
        <v>0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14">
        <f t="shared" si="64"/>
        <v>100</v>
      </c>
      <c r="AE859" s="8">
        <v>0</v>
      </c>
      <c r="AF859" s="8">
        <v>0</v>
      </c>
      <c r="AG859" s="8">
        <v>0</v>
      </c>
      <c r="AH859" s="8">
        <v>0</v>
      </c>
      <c r="AI859" s="39" t="s">
        <v>1531</v>
      </c>
      <c r="AJ859" s="7">
        <v>100</v>
      </c>
      <c r="AK859" s="62">
        <v>1423</v>
      </c>
      <c r="AL859" s="158"/>
      <c r="AM859" s="85"/>
      <c r="AN859" s="85"/>
      <c r="AO859" s="85"/>
      <c r="AP859" s="85"/>
      <c r="AQ859" s="85"/>
      <c r="AR859" s="85"/>
      <c r="AS859" s="85"/>
      <c r="AT859" s="205"/>
      <c r="AU859" s="85"/>
      <c r="AV859" s="196"/>
      <c r="AW859" s="85"/>
      <c r="AX859" s="85"/>
      <c r="AY859" s="39">
        <v>0.05</v>
      </c>
      <c r="AZ859" s="7">
        <v>194.1</v>
      </c>
      <c r="BA859" s="62">
        <v>3.7</v>
      </c>
      <c r="BB859" s="7">
        <v>3</v>
      </c>
      <c r="BC859" s="7">
        <v>19.8</v>
      </c>
      <c r="BD859" s="7"/>
      <c r="BE859" s="7">
        <v>13.2</v>
      </c>
      <c r="BF859" s="39"/>
      <c r="BG859" s="7"/>
      <c r="BH859" s="62"/>
      <c r="BI859" s="7"/>
      <c r="BJ859" s="32">
        <v>1</v>
      </c>
      <c r="BK859" s="54"/>
    </row>
    <row r="860" spans="1:63" s="6" customFormat="1" ht="23.25" customHeight="1" thickBot="1" x14ac:dyDescent="0.25">
      <c r="A860" s="62">
        <v>859</v>
      </c>
      <c r="B860" s="222"/>
      <c r="C860" s="222"/>
      <c r="D860" s="224"/>
      <c r="E860" s="13" t="s">
        <v>1711</v>
      </c>
      <c r="F860" s="80">
        <f>11.5/14.3*100</f>
        <v>80.419580419580413</v>
      </c>
      <c r="G860" s="81">
        <f>1.5/14.3*100</f>
        <v>10.48951048951049</v>
      </c>
      <c r="H860" s="81">
        <v>0</v>
      </c>
      <c r="I860" s="81">
        <v>0</v>
      </c>
      <c r="J860" s="81">
        <v>0</v>
      </c>
      <c r="K860" s="81">
        <v>0</v>
      </c>
      <c r="L860" s="81">
        <v>0</v>
      </c>
      <c r="M860" s="81">
        <v>0</v>
      </c>
      <c r="N860" s="81">
        <v>0</v>
      </c>
      <c r="O860" s="81">
        <v>0</v>
      </c>
      <c r="P860" s="81">
        <v>0</v>
      </c>
      <c r="Q860" s="81">
        <v>0</v>
      </c>
      <c r="R860" s="81">
        <v>0</v>
      </c>
      <c r="S860" s="82">
        <v>0</v>
      </c>
      <c r="T860" s="81">
        <f>1.3/14.3*100</f>
        <v>9.0909090909090917</v>
      </c>
      <c r="U860" s="81">
        <v>0</v>
      </c>
      <c r="V860" s="81">
        <v>0</v>
      </c>
      <c r="W860" s="81">
        <v>0</v>
      </c>
      <c r="X860" s="81">
        <v>0</v>
      </c>
      <c r="Y860" s="81">
        <v>0</v>
      </c>
      <c r="Z860" s="81">
        <v>0</v>
      </c>
      <c r="AA860" s="81">
        <v>0</v>
      </c>
      <c r="AB860" s="81">
        <v>0</v>
      </c>
      <c r="AC860" s="81">
        <v>0</v>
      </c>
      <c r="AD860" s="83">
        <f t="shared" si="64"/>
        <v>100</v>
      </c>
      <c r="AE860" s="81">
        <v>0</v>
      </c>
      <c r="AF860" s="81">
        <v>0</v>
      </c>
      <c r="AG860" s="81">
        <v>0</v>
      </c>
      <c r="AH860" s="81">
        <v>0</v>
      </c>
      <c r="AI860" s="79" t="s">
        <v>1531</v>
      </c>
      <c r="AJ860" s="65">
        <v>100</v>
      </c>
      <c r="AK860" s="78">
        <v>1423</v>
      </c>
      <c r="AL860" s="200"/>
      <c r="AM860" s="190"/>
      <c r="AN860" s="190"/>
      <c r="AO860" s="190"/>
      <c r="AP860" s="190"/>
      <c r="AQ860" s="190"/>
      <c r="AR860" s="190"/>
      <c r="AS860" s="190"/>
      <c r="AT860" s="201"/>
      <c r="AU860" s="190"/>
      <c r="AV860" s="202"/>
      <c r="AW860" s="190"/>
      <c r="AX860" s="190"/>
      <c r="AY860" s="79">
        <v>0.05</v>
      </c>
      <c r="AZ860" s="65">
        <v>191.7</v>
      </c>
      <c r="BA860" s="78">
        <v>4.5999999999999996</v>
      </c>
      <c r="BB860" s="65">
        <v>3</v>
      </c>
      <c r="BC860" s="65">
        <v>18.3</v>
      </c>
      <c r="BD860" s="65"/>
      <c r="BE860" s="65">
        <v>13.2</v>
      </c>
      <c r="BF860" s="79"/>
      <c r="BG860" s="65"/>
      <c r="BH860" s="78"/>
      <c r="BI860" s="65"/>
      <c r="BJ860" s="68">
        <v>1</v>
      </c>
      <c r="BK860" s="13"/>
    </row>
    <row r="861" spans="1:63" ht="23.25" customHeight="1" x14ac:dyDescent="0.2">
      <c r="A861" s="7">
        <v>860</v>
      </c>
      <c r="B861" s="218">
        <v>922</v>
      </c>
      <c r="C861" s="218" t="s">
        <v>1594</v>
      </c>
      <c r="D861" s="225" t="s">
        <v>1194</v>
      </c>
      <c r="E861" s="54" t="s">
        <v>1663</v>
      </c>
      <c r="F861" s="16">
        <f>11/15*100</f>
        <v>73.333333333333329</v>
      </c>
      <c r="G861" s="8">
        <f>2/15*100</f>
        <v>13.333333333333334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>
        <v>0</v>
      </c>
      <c r="S861" s="17">
        <v>0</v>
      </c>
      <c r="T861" s="8">
        <f>(2-0.2)*100/15</f>
        <v>12</v>
      </c>
      <c r="U861" s="8">
        <v>0</v>
      </c>
      <c r="V861" s="8">
        <f>(0.2)*100/15</f>
        <v>1.3333333333333333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14">
        <f t="shared" si="64"/>
        <v>99.999999999999986</v>
      </c>
      <c r="AE861" s="8">
        <v>0</v>
      </c>
      <c r="AF861" s="8">
        <v>0</v>
      </c>
      <c r="AG861" s="8">
        <v>0</v>
      </c>
      <c r="AH861" s="8">
        <v>0</v>
      </c>
      <c r="AI861" s="39" t="s">
        <v>1531</v>
      </c>
      <c r="AJ861" s="7">
        <v>12</v>
      </c>
      <c r="AK861" s="62">
        <v>1423</v>
      </c>
      <c r="AL861" s="158"/>
      <c r="AM861" s="85"/>
      <c r="AN861" s="85"/>
      <c r="AO861" s="85"/>
      <c r="AP861" s="85"/>
      <c r="AQ861" s="85"/>
      <c r="AR861" s="85"/>
      <c r="AS861" s="85"/>
      <c r="AT861" s="205"/>
      <c r="AU861" s="85"/>
      <c r="AV861" s="196"/>
      <c r="AW861" s="85"/>
      <c r="AX861" s="85"/>
      <c r="AY861" s="39">
        <v>0.05</v>
      </c>
      <c r="AZ861" s="7">
        <v>192</v>
      </c>
      <c r="BA861" s="62">
        <v>0</v>
      </c>
      <c r="BB861" s="7" t="s">
        <v>1195</v>
      </c>
      <c r="BC861" s="7" t="s">
        <v>1951</v>
      </c>
      <c r="BD861" s="7"/>
      <c r="BE861" s="7" t="s">
        <v>1196</v>
      </c>
      <c r="BF861" s="39"/>
      <c r="BG861" s="7"/>
      <c r="BH861" s="62"/>
      <c r="BI861" s="7"/>
      <c r="BJ861" s="32">
        <v>1</v>
      </c>
      <c r="BK861" s="54"/>
    </row>
    <row r="862" spans="1:63" ht="23.25" customHeight="1" x14ac:dyDescent="0.2">
      <c r="A862" s="62">
        <v>861</v>
      </c>
      <c r="B862" s="221"/>
      <c r="C862" s="221"/>
      <c r="D862" s="223"/>
      <c r="E862" s="54" t="s">
        <v>1150</v>
      </c>
      <c r="F862" s="16">
        <f t="shared" ref="F862:F866" si="74">11/15*100</f>
        <v>73.333333333333329</v>
      </c>
      <c r="G862" s="8">
        <f t="shared" ref="G862:G866" si="75">2/15*100</f>
        <v>13.333333333333334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17">
        <v>0</v>
      </c>
      <c r="T862" s="8">
        <f>(2-0.4)*100/15</f>
        <v>10.666666666666666</v>
      </c>
      <c r="U862" s="8">
        <v>0</v>
      </c>
      <c r="V862" s="8">
        <f>(0.4)*100/15</f>
        <v>2.6666666666666665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14">
        <f t="shared" si="64"/>
        <v>100</v>
      </c>
      <c r="AE862" s="8">
        <v>0</v>
      </c>
      <c r="AF862" s="8">
        <v>0</v>
      </c>
      <c r="AG862" s="8">
        <v>0</v>
      </c>
      <c r="AH862" s="8">
        <v>0</v>
      </c>
      <c r="AI862" s="39" t="s">
        <v>1531</v>
      </c>
      <c r="AJ862" s="7">
        <v>12</v>
      </c>
      <c r="AK862" s="62">
        <v>1423</v>
      </c>
      <c r="AL862" s="158"/>
      <c r="AM862" s="85"/>
      <c r="AN862" s="85"/>
      <c r="AO862" s="85"/>
      <c r="AP862" s="85"/>
      <c r="AQ862" s="85"/>
      <c r="AR862" s="85"/>
      <c r="AS862" s="85"/>
      <c r="AT862" s="205"/>
      <c r="AU862" s="85"/>
      <c r="AV862" s="196"/>
      <c r="AW862" s="85"/>
      <c r="AX862" s="85"/>
      <c r="AY862" s="39">
        <v>0.05</v>
      </c>
      <c r="AZ862" s="7">
        <v>186</v>
      </c>
      <c r="BA862" s="62">
        <v>2.1</v>
      </c>
      <c r="BB862" s="7" t="s">
        <v>1195</v>
      </c>
      <c r="BC862" s="7" t="s">
        <v>1197</v>
      </c>
      <c r="BD862" s="7"/>
      <c r="BE862" s="7" t="s">
        <v>1198</v>
      </c>
      <c r="BF862" s="39"/>
      <c r="BG862" s="7"/>
      <c r="BH862" s="62"/>
      <c r="BI862" s="7"/>
      <c r="BJ862" s="32">
        <v>1</v>
      </c>
      <c r="BK862" s="54"/>
    </row>
    <row r="863" spans="1:63" ht="23.25" customHeight="1" x14ac:dyDescent="0.2">
      <c r="A863" s="7">
        <v>862</v>
      </c>
      <c r="B863" s="221"/>
      <c r="C863" s="221"/>
      <c r="D863" s="223"/>
      <c r="E863" s="54" t="s">
        <v>1712</v>
      </c>
      <c r="F863" s="16">
        <f t="shared" si="74"/>
        <v>73.333333333333329</v>
      </c>
      <c r="G863" s="8">
        <f t="shared" si="75"/>
        <v>13.333333333333334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>
        <v>0</v>
      </c>
      <c r="S863" s="17">
        <v>0</v>
      </c>
      <c r="T863" s="8">
        <f>(2-0.6)*100/15</f>
        <v>9.3333333333333339</v>
      </c>
      <c r="U863" s="8">
        <v>0</v>
      </c>
      <c r="V863" s="8">
        <f>(0.6)*100/15</f>
        <v>4</v>
      </c>
      <c r="W863" s="8">
        <v>0</v>
      </c>
      <c r="X863" s="8">
        <v>0</v>
      </c>
      <c r="Y863" s="8">
        <v>0</v>
      </c>
      <c r="Z863" s="8">
        <v>0</v>
      </c>
      <c r="AA863" s="8">
        <v>0</v>
      </c>
      <c r="AB863" s="8">
        <v>0</v>
      </c>
      <c r="AC863" s="8">
        <v>0</v>
      </c>
      <c r="AD863" s="14">
        <f t="shared" si="64"/>
        <v>99.999999999999986</v>
      </c>
      <c r="AE863" s="8">
        <v>0</v>
      </c>
      <c r="AF863" s="8">
        <v>0</v>
      </c>
      <c r="AG863" s="8">
        <v>0</v>
      </c>
      <c r="AH863" s="8">
        <v>0</v>
      </c>
      <c r="AI863" s="39" t="s">
        <v>1531</v>
      </c>
      <c r="AJ863" s="7">
        <v>12</v>
      </c>
      <c r="AK863" s="62">
        <v>1423</v>
      </c>
      <c r="AL863" s="158"/>
      <c r="AM863" s="85"/>
      <c r="AN863" s="85"/>
      <c r="AO863" s="85"/>
      <c r="AP863" s="85"/>
      <c r="AQ863" s="85"/>
      <c r="AR863" s="85"/>
      <c r="AS863" s="85"/>
      <c r="AT863" s="205"/>
      <c r="AU863" s="85"/>
      <c r="AV863" s="196"/>
      <c r="AW863" s="85"/>
      <c r="AX863" s="85"/>
      <c r="AY863" s="39">
        <v>0.05</v>
      </c>
      <c r="AZ863" s="7">
        <v>179</v>
      </c>
      <c r="BA863" s="62">
        <v>4.8</v>
      </c>
      <c r="BB863" s="7" t="s">
        <v>1195</v>
      </c>
      <c r="BC863" s="7" t="s">
        <v>1199</v>
      </c>
      <c r="BD863" s="7"/>
      <c r="BE863" s="7" t="s">
        <v>1200</v>
      </c>
      <c r="BF863" s="39"/>
      <c r="BG863" s="7"/>
      <c r="BH863" s="62"/>
      <c r="BI863" s="7"/>
      <c r="BJ863" s="32">
        <v>1</v>
      </c>
      <c r="BK863" s="54"/>
    </row>
    <row r="864" spans="1:63" ht="23.25" customHeight="1" x14ac:dyDescent="0.2">
      <c r="A864" s="62">
        <v>863</v>
      </c>
      <c r="B864" s="221"/>
      <c r="C864" s="221"/>
      <c r="D864" s="223"/>
      <c r="E864" s="54" t="s">
        <v>1670</v>
      </c>
      <c r="F864" s="16">
        <f t="shared" si="74"/>
        <v>73.333333333333329</v>
      </c>
      <c r="G864" s="8">
        <f t="shared" si="75"/>
        <v>13.333333333333334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17">
        <v>0</v>
      </c>
      <c r="T864" s="8">
        <f>(2-0.8)*100/15</f>
        <v>8</v>
      </c>
      <c r="U864" s="8">
        <v>0</v>
      </c>
      <c r="V864" s="8">
        <f>(0.8)*100/15</f>
        <v>5.333333333333333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>
        <v>0</v>
      </c>
      <c r="AC864" s="8">
        <v>0</v>
      </c>
      <c r="AD864" s="14">
        <f t="shared" si="64"/>
        <v>99.999999999999986</v>
      </c>
      <c r="AE864" s="8">
        <v>0</v>
      </c>
      <c r="AF864" s="8">
        <v>0</v>
      </c>
      <c r="AG864" s="8">
        <v>0</v>
      </c>
      <c r="AH864" s="8">
        <v>0</v>
      </c>
      <c r="AI864" s="39" t="s">
        <v>1531</v>
      </c>
      <c r="AJ864" s="7">
        <v>12</v>
      </c>
      <c r="AK864" s="62">
        <v>1423</v>
      </c>
      <c r="AL864" s="158"/>
      <c r="AM864" s="85"/>
      <c r="AN864" s="85"/>
      <c r="AO864" s="85"/>
      <c r="AP864" s="85"/>
      <c r="AQ864" s="85"/>
      <c r="AR864" s="85"/>
      <c r="AS864" s="85"/>
      <c r="AT864" s="205"/>
      <c r="AU864" s="85"/>
      <c r="AV864" s="196"/>
      <c r="AW864" s="85"/>
      <c r="AX864" s="85"/>
      <c r="AY864" s="39">
        <v>0.05</v>
      </c>
      <c r="AZ864" s="7">
        <v>169</v>
      </c>
      <c r="BA864" s="62">
        <v>8.1</v>
      </c>
      <c r="BB864" s="7" t="s">
        <v>1195</v>
      </c>
      <c r="BC864" s="7" t="s">
        <v>1201</v>
      </c>
      <c r="BD864" s="7"/>
      <c r="BE864" s="7" t="s">
        <v>1202</v>
      </c>
      <c r="BF864" s="39"/>
      <c r="BG864" s="7"/>
      <c r="BH864" s="62"/>
      <c r="BI864" s="7"/>
      <c r="BJ864" s="32">
        <v>1</v>
      </c>
      <c r="BK864" s="54"/>
    </row>
    <row r="865" spans="1:63" ht="23.25" customHeight="1" x14ac:dyDescent="0.2">
      <c r="A865" s="7">
        <v>864</v>
      </c>
      <c r="B865" s="221"/>
      <c r="C865" s="221"/>
      <c r="D865" s="223"/>
      <c r="E865" s="54" t="s">
        <v>1713</v>
      </c>
      <c r="F865" s="16">
        <f t="shared" si="74"/>
        <v>73.333333333333329</v>
      </c>
      <c r="G865" s="8">
        <f t="shared" si="75"/>
        <v>13.333333333333334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17">
        <v>0</v>
      </c>
      <c r="T865" s="8">
        <f>(2-1)*100/15</f>
        <v>6.666666666666667</v>
      </c>
      <c r="U865" s="8">
        <v>0</v>
      </c>
      <c r="V865" s="8">
        <f>(1)*100/15</f>
        <v>6.666666666666667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14">
        <f t="shared" si="64"/>
        <v>100</v>
      </c>
      <c r="AE865" s="8">
        <v>0</v>
      </c>
      <c r="AF865" s="8">
        <v>0</v>
      </c>
      <c r="AG865" s="8">
        <v>0</v>
      </c>
      <c r="AH865" s="8">
        <v>0</v>
      </c>
      <c r="AI865" s="39" t="s">
        <v>1531</v>
      </c>
      <c r="AJ865" s="7">
        <v>12</v>
      </c>
      <c r="AK865" s="62">
        <v>1423</v>
      </c>
      <c r="AL865" s="158"/>
      <c r="AM865" s="85"/>
      <c r="AN865" s="85"/>
      <c r="AO865" s="85"/>
      <c r="AP865" s="85"/>
      <c r="AQ865" s="85"/>
      <c r="AR865" s="85"/>
      <c r="AS865" s="85"/>
      <c r="AT865" s="205"/>
      <c r="AU865" s="85"/>
      <c r="AV865" s="196"/>
      <c r="AW865" s="85"/>
      <c r="AX865" s="85"/>
      <c r="AY865" s="39">
        <v>0.05</v>
      </c>
      <c r="AZ865" s="7">
        <v>169</v>
      </c>
      <c r="BA865" s="62">
        <v>5.5</v>
      </c>
      <c r="BB865" s="7" t="s">
        <v>1195</v>
      </c>
      <c r="BC865" s="7" t="s">
        <v>1203</v>
      </c>
      <c r="BD865" s="7"/>
      <c r="BE865" s="7" t="s">
        <v>1204</v>
      </c>
      <c r="BF865" s="39"/>
      <c r="BG865" s="7"/>
      <c r="BH865" s="62"/>
      <c r="BI865" s="7"/>
      <c r="BJ865" s="32">
        <v>1</v>
      </c>
      <c r="BK865" s="54"/>
    </row>
    <row r="866" spans="1:63" ht="23.25" customHeight="1" thickBot="1" x14ac:dyDescent="0.25">
      <c r="A866" s="62">
        <v>865</v>
      </c>
      <c r="B866" s="222"/>
      <c r="C866" s="222"/>
      <c r="D866" s="224"/>
      <c r="E866" s="54" t="s">
        <v>1669</v>
      </c>
      <c r="F866" s="16">
        <f t="shared" si="74"/>
        <v>73.333333333333329</v>
      </c>
      <c r="G866" s="8">
        <f t="shared" si="75"/>
        <v>13.333333333333334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17">
        <v>0</v>
      </c>
      <c r="T866" s="8">
        <f>(2-1.2)*100/15</f>
        <v>5.333333333333333</v>
      </c>
      <c r="U866" s="8">
        <v>0</v>
      </c>
      <c r="V866" s="8">
        <f>(1.2)*100/15</f>
        <v>8</v>
      </c>
      <c r="W866" s="8">
        <v>0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0</v>
      </c>
      <c r="AD866" s="14">
        <f t="shared" si="64"/>
        <v>99.999999999999986</v>
      </c>
      <c r="AE866" s="8">
        <v>0</v>
      </c>
      <c r="AF866" s="8">
        <v>0</v>
      </c>
      <c r="AG866" s="8">
        <v>0</v>
      </c>
      <c r="AH866" s="8">
        <v>0</v>
      </c>
      <c r="AI866" s="39" t="s">
        <v>1531</v>
      </c>
      <c r="AJ866" s="7">
        <v>12</v>
      </c>
      <c r="AK866" s="62">
        <v>1423</v>
      </c>
      <c r="AL866" s="158"/>
      <c r="AM866" s="85"/>
      <c r="AN866" s="85"/>
      <c r="AO866" s="85"/>
      <c r="AP866" s="85"/>
      <c r="AQ866" s="85"/>
      <c r="AR866" s="85"/>
      <c r="AS866" s="85"/>
      <c r="AT866" s="205"/>
      <c r="AU866" s="85"/>
      <c r="AV866" s="196"/>
      <c r="AW866" s="85"/>
      <c r="AX866" s="85"/>
      <c r="AY866" s="39">
        <v>0.05</v>
      </c>
      <c r="AZ866" s="7">
        <v>170</v>
      </c>
      <c r="BA866" s="62">
        <v>5.0999999999999996</v>
      </c>
      <c r="BB866" s="7" t="s">
        <v>1195</v>
      </c>
      <c r="BC866" s="7" t="s">
        <v>1205</v>
      </c>
      <c r="BD866" s="7"/>
      <c r="BE866" s="7" t="s">
        <v>1206</v>
      </c>
      <c r="BF866" s="39"/>
      <c r="BG866" s="7"/>
      <c r="BH866" s="62"/>
      <c r="BI866" s="7"/>
      <c r="BJ866" s="32">
        <v>1</v>
      </c>
      <c r="BK866" s="54"/>
    </row>
    <row r="867" spans="1:63" s="4" customFormat="1" ht="23.25" customHeight="1" x14ac:dyDescent="0.2">
      <c r="A867" s="7">
        <v>866</v>
      </c>
      <c r="B867" s="218">
        <v>926</v>
      </c>
      <c r="C867" s="218" t="s">
        <v>1595</v>
      </c>
      <c r="D867" s="243" t="s">
        <v>1207</v>
      </c>
      <c r="E867" s="12" t="s">
        <v>1714</v>
      </c>
      <c r="F867" s="87">
        <f>11/14*100</f>
        <v>78.571428571428569</v>
      </c>
      <c r="G867" s="88">
        <f>1.5/14*100</f>
        <v>10.714285714285714</v>
      </c>
      <c r="H867" s="88">
        <f>(11.5-11)/14*100</f>
        <v>3.5714285714285712</v>
      </c>
      <c r="I867" s="88">
        <v>0</v>
      </c>
      <c r="J867" s="88">
        <v>0</v>
      </c>
      <c r="K867" s="88">
        <v>0</v>
      </c>
      <c r="L867" s="88">
        <v>0</v>
      </c>
      <c r="M867" s="88">
        <v>0</v>
      </c>
      <c r="N867" s="88">
        <v>0</v>
      </c>
      <c r="O867" s="88">
        <v>0</v>
      </c>
      <c r="P867" s="88">
        <v>0</v>
      </c>
      <c r="Q867" s="88">
        <v>0</v>
      </c>
      <c r="R867" s="88">
        <v>0</v>
      </c>
      <c r="S867" s="89">
        <v>0</v>
      </c>
      <c r="T867" s="88">
        <f>0.999/14*100</f>
        <v>7.1357142857142852</v>
      </c>
      <c r="U867" s="88">
        <v>0</v>
      </c>
      <c r="V867" s="88">
        <f>0.001/14*100</f>
        <v>7.1428571428571435E-3</v>
      </c>
      <c r="W867" s="88">
        <v>0</v>
      </c>
      <c r="X867" s="88">
        <v>0</v>
      </c>
      <c r="Y867" s="88">
        <v>0</v>
      </c>
      <c r="Z867" s="88">
        <v>0</v>
      </c>
      <c r="AA867" s="88">
        <v>0</v>
      </c>
      <c r="AB867" s="88">
        <v>0</v>
      </c>
      <c r="AC867" s="88">
        <v>0</v>
      </c>
      <c r="AD867" s="90">
        <f t="shared" si="64"/>
        <v>99.999999999999986</v>
      </c>
      <c r="AE867" s="88">
        <v>0</v>
      </c>
      <c r="AF867" s="88">
        <v>0</v>
      </c>
      <c r="AG867" s="88">
        <v>0</v>
      </c>
      <c r="AH867" s="88">
        <v>0</v>
      </c>
      <c r="AI867" s="156" t="s">
        <v>1531</v>
      </c>
      <c r="AJ867" s="45">
        <v>100</v>
      </c>
      <c r="AK867" s="91">
        <v>1423</v>
      </c>
      <c r="AL867" s="197"/>
      <c r="AM867" s="189"/>
      <c r="AN867" s="189"/>
      <c r="AO867" s="189"/>
      <c r="AP867" s="189"/>
      <c r="AQ867" s="189"/>
      <c r="AR867" s="189"/>
      <c r="AS867" s="189"/>
      <c r="AT867" s="198"/>
      <c r="AU867" s="189"/>
      <c r="AV867" s="199"/>
      <c r="AW867" s="189"/>
      <c r="AX867" s="189"/>
      <c r="AY867" s="156">
        <v>0.05</v>
      </c>
      <c r="AZ867" s="45">
        <v>211.3</v>
      </c>
      <c r="BA867" s="91">
        <v>2.2000000000000002</v>
      </c>
      <c r="BB867" s="45">
        <v>2</v>
      </c>
      <c r="BC867" s="45">
        <v>4.8</v>
      </c>
      <c r="BD867" s="45"/>
      <c r="BE867" s="45"/>
      <c r="BF867" s="156"/>
      <c r="BG867" s="45"/>
      <c r="BH867" s="91"/>
      <c r="BI867" s="45"/>
      <c r="BJ867" s="67">
        <v>1</v>
      </c>
      <c r="BK867" s="12"/>
    </row>
    <row r="868" spans="1:63" ht="23.25" customHeight="1" x14ac:dyDescent="0.2">
      <c r="A868" s="62">
        <v>867</v>
      </c>
      <c r="B868" s="221"/>
      <c r="C868" s="221"/>
      <c r="D868" s="244"/>
      <c r="E868" s="54" t="s">
        <v>1715</v>
      </c>
      <c r="F868" s="16">
        <f>11.1/14*100</f>
        <v>79.285714285714278</v>
      </c>
      <c r="G868" s="8">
        <f t="shared" ref="G868:G872" si="76">1.5/14*100</f>
        <v>10.714285714285714</v>
      </c>
      <c r="H868" s="8">
        <f>(11.5-11.1)/14*100</f>
        <v>2.8571428571428599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17">
        <v>0</v>
      </c>
      <c r="T868" s="8">
        <f t="shared" ref="T868:T872" si="77">0.999/14*100</f>
        <v>7.1357142857142852</v>
      </c>
      <c r="U868" s="8">
        <v>0</v>
      </c>
      <c r="V868" s="8">
        <f t="shared" ref="V868:V872" si="78">0.001/14*100</f>
        <v>7.1428571428571435E-3</v>
      </c>
      <c r="W868" s="8">
        <v>0</v>
      </c>
      <c r="X868" s="8">
        <v>0</v>
      </c>
      <c r="Y868" s="8">
        <v>0</v>
      </c>
      <c r="Z868" s="8">
        <v>0</v>
      </c>
      <c r="AA868" s="8">
        <v>0</v>
      </c>
      <c r="AB868" s="8">
        <v>0</v>
      </c>
      <c r="AC868" s="8">
        <v>0</v>
      </c>
      <c r="AD868" s="14">
        <f t="shared" si="64"/>
        <v>99.999999999999986</v>
      </c>
      <c r="AE868" s="8">
        <v>0</v>
      </c>
      <c r="AF868" s="8">
        <v>0</v>
      </c>
      <c r="AG868" s="8">
        <v>0</v>
      </c>
      <c r="AH868" s="8">
        <v>0</v>
      </c>
      <c r="AI868" s="39" t="s">
        <v>1531</v>
      </c>
      <c r="AJ868" s="7">
        <v>100</v>
      </c>
      <c r="AK868" s="62">
        <v>1423</v>
      </c>
      <c r="AL868" s="158"/>
      <c r="AM868" s="85"/>
      <c r="AN868" s="85"/>
      <c r="AO868" s="85"/>
      <c r="AP868" s="85"/>
      <c r="AQ868" s="85"/>
      <c r="AR868" s="85"/>
      <c r="AS868" s="85"/>
      <c r="AT868" s="205"/>
      <c r="AU868" s="85"/>
      <c r="AV868" s="196"/>
      <c r="AW868" s="85"/>
      <c r="AX868" s="85"/>
      <c r="AY868" s="39">
        <v>0.05</v>
      </c>
      <c r="AZ868" s="7">
        <v>206.3</v>
      </c>
      <c r="BA868" s="62">
        <v>2.5</v>
      </c>
      <c r="BB868" s="7">
        <v>2</v>
      </c>
      <c r="BC868" s="7">
        <v>6.2</v>
      </c>
      <c r="BD868" s="7"/>
      <c r="BE868" s="7"/>
      <c r="BF868" s="39"/>
      <c r="BG868" s="7"/>
      <c r="BH868" s="62"/>
      <c r="BI868" s="7"/>
      <c r="BJ868" s="32">
        <v>1</v>
      </c>
      <c r="BK868" s="54"/>
    </row>
    <row r="869" spans="1:63" ht="23.25" customHeight="1" x14ac:dyDescent="0.2">
      <c r="A869" s="7">
        <v>868</v>
      </c>
      <c r="B869" s="221"/>
      <c r="C869" s="221"/>
      <c r="D869" s="244"/>
      <c r="E869" s="54" t="s">
        <v>1716</v>
      </c>
      <c r="F869" s="16">
        <f>11.2/14*100</f>
        <v>80</v>
      </c>
      <c r="G869" s="8">
        <f t="shared" si="76"/>
        <v>10.714285714285714</v>
      </c>
      <c r="H869" s="8">
        <f>(11.5-11.2)/14*100</f>
        <v>2.1428571428571481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17">
        <v>0</v>
      </c>
      <c r="T869" s="8">
        <f t="shared" si="77"/>
        <v>7.1357142857142852</v>
      </c>
      <c r="U869" s="8">
        <v>0</v>
      </c>
      <c r="V869" s="8">
        <f t="shared" si="78"/>
        <v>7.1428571428571435E-3</v>
      </c>
      <c r="W869" s="8">
        <v>0</v>
      </c>
      <c r="X869" s="8">
        <v>0</v>
      </c>
      <c r="Y869" s="8">
        <v>0</v>
      </c>
      <c r="Z869" s="8">
        <v>0</v>
      </c>
      <c r="AA869" s="8">
        <v>0</v>
      </c>
      <c r="AB869" s="8">
        <v>0</v>
      </c>
      <c r="AC869" s="8">
        <v>0</v>
      </c>
      <c r="AD869" s="14">
        <f t="shared" si="64"/>
        <v>100</v>
      </c>
      <c r="AE869" s="8">
        <v>0</v>
      </c>
      <c r="AF869" s="8">
        <v>0</v>
      </c>
      <c r="AG869" s="8">
        <v>0</v>
      </c>
      <c r="AH869" s="8">
        <v>0</v>
      </c>
      <c r="AI869" s="39" t="s">
        <v>1531</v>
      </c>
      <c r="AJ869" s="7">
        <v>100</v>
      </c>
      <c r="AK869" s="62">
        <v>1423</v>
      </c>
      <c r="AL869" s="158"/>
      <c r="AM869" s="85"/>
      <c r="AN869" s="85"/>
      <c r="AO869" s="85"/>
      <c r="AP869" s="85"/>
      <c r="AQ869" s="85"/>
      <c r="AR869" s="85"/>
      <c r="AS869" s="85"/>
      <c r="AT869" s="205"/>
      <c r="AU869" s="85"/>
      <c r="AV869" s="196"/>
      <c r="AW869" s="85"/>
      <c r="AX869" s="85"/>
      <c r="AY869" s="39">
        <v>0.05</v>
      </c>
      <c r="AZ869" s="7">
        <v>194.3</v>
      </c>
      <c r="BA869" s="62">
        <v>2.4</v>
      </c>
      <c r="BB869" s="7">
        <v>2</v>
      </c>
      <c r="BC869" s="7">
        <v>10.4</v>
      </c>
      <c r="BD869" s="7"/>
      <c r="BE869" s="7"/>
      <c r="BF869" s="39"/>
      <c r="BG869" s="7"/>
      <c r="BH869" s="62"/>
      <c r="BI869" s="7"/>
      <c r="BJ869" s="32">
        <v>1</v>
      </c>
      <c r="BK869" s="54"/>
    </row>
    <row r="870" spans="1:63" ht="23.25" customHeight="1" x14ac:dyDescent="0.2">
      <c r="A870" s="62">
        <v>869</v>
      </c>
      <c r="B870" s="221"/>
      <c r="C870" s="221"/>
      <c r="D870" s="244"/>
      <c r="E870" s="54" t="s">
        <v>1717</v>
      </c>
      <c r="F870" s="16">
        <f>11.3/14*100</f>
        <v>80.714285714285722</v>
      </c>
      <c r="G870" s="8">
        <f t="shared" si="76"/>
        <v>10.714285714285714</v>
      </c>
      <c r="H870" s="8">
        <f>(11.5-11.3)/14*100</f>
        <v>1.4285714285714235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17">
        <v>0</v>
      </c>
      <c r="T870" s="8">
        <f t="shared" si="77"/>
        <v>7.1357142857142852</v>
      </c>
      <c r="U870" s="8">
        <v>0</v>
      </c>
      <c r="V870" s="8">
        <f t="shared" si="78"/>
        <v>7.1428571428571435E-3</v>
      </c>
      <c r="W870" s="8">
        <v>0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  <c r="AD870" s="14">
        <f t="shared" si="64"/>
        <v>100</v>
      </c>
      <c r="AE870" s="8">
        <v>0</v>
      </c>
      <c r="AF870" s="8">
        <v>0</v>
      </c>
      <c r="AG870" s="8">
        <v>0</v>
      </c>
      <c r="AH870" s="8">
        <v>0</v>
      </c>
      <c r="AI870" s="39" t="s">
        <v>1531</v>
      </c>
      <c r="AJ870" s="7">
        <v>100</v>
      </c>
      <c r="AK870" s="62">
        <v>1423</v>
      </c>
      <c r="AL870" s="158"/>
      <c r="AM870" s="85"/>
      <c r="AN870" s="85"/>
      <c r="AO870" s="85"/>
      <c r="AP870" s="85"/>
      <c r="AQ870" s="85"/>
      <c r="AR870" s="85"/>
      <c r="AS870" s="85"/>
      <c r="AT870" s="205"/>
      <c r="AU870" s="85"/>
      <c r="AV870" s="196"/>
      <c r="AW870" s="85"/>
      <c r="AX870" s="85"/>
      <c r="AY870" s="39">
        <v>0.05</v>
      </c>
      <c r="AZ870" s="7">
        <v>188.8</v>
      </c>
      <c r="BA870" s="62">
        <v>3.5</v>
      </c>
      <c r="BB870" s="7">
        <v>2</v>
      </c>
      <c r="BC870" s="7">
        <v>15.1</v>
      </c>
      <c r="BD870" s="7"/>
      <c r="BE870" s="7"/>
      <c r="BF870" s="39"/>
      <c r="BG870" s="7"/>
      <c r="BH870" s="62"/>
      <c r="BI870" s="7"/>
      <c r="BJ870" s="32">
        <v>1</v>
      </c>
      <c r="BK870" s="54"/>
    </row>
    <row r="871" spans="1:63" ht="23.25" customHeight="1" x14ac:dyDescent="0.2">
      <c r="A871" s="7">
        <v>870</v>
      </c>
      <c r="B871" s="221"/>
      <c r="C871" s="221"/>
      <c r="D871" s="244"/>
      <c r="E871" s="54" t="s">
        <v>1718</v>
      </c>
      <c r="F871" s="16">
        <f>11.4/14*100</f>
        <v>81.428571428571431</v>
      </c>
      <c r="G871" s="8">
        <f t="shared" si="76"/>
        <v>10.714285714285714</v>
      </c>
      <c r="H871" s="8">
        <f>(11.5-11.4)/14*100</f>
        <v>0.71428571428571175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17">
        <v>0</v>
      </c>
      <c r="T871" s="8">
        <f t="shared" si="77"/>
        <v>7.1357142857142852</v>
      </c>
      <c r="U871" s="8">
        <v>0</v>
      </c>
      <c r="V871" s="8">
        <f t="shared" si="78"/>
        <v>7.1428571428571435E-3</v>
      </c>
      <c r="W871" s="8">
        <v>0</v>
      </c>
      <c r="X871" s="8">
        <v>0</v>
      </c>
      <c r="Y871" s="8">
        <v>0</v>
      </c>
      <c r="Z871" s="8">
        <v>0</v>
      </c>
      <c r="AA871" s="8">
        <v>0</v>
      </c>
      <c r="AB871" s="8">
        <v>0</v>
      </c>
      <c r="AC871" s="8">
        <v>0</v>
      </c>
      <c r="AD871" s="14">
        <f t="shared" si="64"/>
        <v>99.999999999999986</v>
      </c>
      <c r="AE871" s="8">
        <v>0</v>
      </c>
      <c r="AF871" s="8">
        <v>0</v>
      </c>
      <c r="AG871" s="8">
        <v>0</v>
      </c>
      <c r="AH871" s="8">
        <v>0</v>
      </c>
      <c r="AI871" s="39" t="s">
        <v>1531</v>
      </c>
      <c r="AJ871" s="7">
        <v>100</v>
      </c>
      <c r="AK871" s="62">
        <v>1423</v>
      </c>
      <c r="AL871" s="158"/>
      <c r="AM871" s="85"/>
      <c r="AN871" s="85"/>
      <c r="AO871" s="85"/>
      <c r="AP871" s="85"/>
      <c r="AQ871" s="85"/>
      <c r="AR871" s="85"/>
      <c r="AS871" s="85"/>
      <c r="AT871" s="205"/>
      <c r="AU871" s="85"/>
      <c r="AV871" s="196"/>
      <c r="AW871" s="85"/>
      <c r="AX871" s="85"/>
      <c r="AY871" s="39">
        <v>0.05</v>
      </c>
      <c r="AZ871" s="7">
        <v>184.3</v>
      </c>
      <c r="BA871" s="62">
        <v>5.2</v>
      </c>
      <c r="BB871" s="7">
        <v>2</v>
      </c>
      <c r="BC871" s="7">
        <v>23.1</v>
      </c>
      <c r="BD871" s="7"/>
      <c r="BE871" s="7"/>
      <c r="BF871" s="39"/>
      <c r="BG871" s="7"/>
      <c r="BH871" s="62"/>
      <c r="BI871" s="7"/>
      <c r="BJ871" s="32">
        <v>1</v>
      </c>
      <c r="BK871" s="54"/>
    </row>
    <row r="872" spans="1:63" s="6" customFormat="1" ht="23.25" customHeight="1" thickBot="1" x14ac:dyDescent="0.25">
      <c r="A872" s="62">
        <v>871</v>
      </c>
      <c r="B872" s="222"/>
      <c r="C872" s="222"/>
      <c r="D872" s="245"/>
      <c r="E872" s="13" t="s">
        <v>1719</v>
      </c>
      <c r="F872" s="80">
        <f>11.5/14*100</f>
        <v>82.142857142857139</v>
      </c>
      <c r="G872" s="81">
        <f t="shared" si="76"/>
        <v>10.714285714285714</v>
      </c>
      <c r="H872" s="81">
        <v>0</v>
      </c>
      <c r="I872" s="81">
        <v>0</v>
      </c>
      <c r="J872" s="81">
        <v>0</v>
      </c>
      <c r="K872" s="81">
        <v>0</v>
      </c>
      <c r="L872" s="81">
        <v>0</v>
      </c>
      <c r="M872" s="81">
        <v>0</v>
      </c>
      <c r="N872" s="81">
        <v>0</v>
      </c>
      <c r="O872" s="81">
        <v>0</v>
      </c>
      <c r="P872" s="81">
        <v>0</v>
      </c>
      <c r="Q872" s="81">
        <v>0</v>
      </c>
      <c r="R872" s="81">
        <v>0</v>
      </c>
      <c r="S872" s="82">
        <v>0</v>
      </c>
      <c r="T872" s="81">
        <f t="shared" si="77"/>
        <v>7.1357142857142852</v>
      </c>
      <c r="U872" s="81">
        <v>0</v>
      </c>
      <c r="V872" s="81">
        <f t="shared" si="78"/>
        <v>7.1428571428571435E-3</v>
      </c>
      <c r="W872" s="81">
        <v>0</v>
      </c>
      <c r="X872" s="81">
        <v>0</v>
      </c>
      <c r="Y872" s="81">
        <v>0</v>
      </c>
      <c r="Z872" s="81">
        <v>0</v>
      </c>
      <c r="AA872" s="81">
        <v>0</v>
      </c>
      <c r="AB872" s="81">
        <v>0</v>
      </c>
      <c r="AC872" s="81">
        <v>0</v>
      </c>
      <c r="AD872" s="83">
        <f t="shared" si="64"/>
        <v>99.999999999999986</v>
      </c>
      <c r="AE872" s="81">
        <v>0</v>
      </c>
      <c r="AF872" s="81">
        <v>0</v>
      </c>
      <c r="AG872" s="81">
        <v>0</v>
      </c>
      <c r="AH872" s="81">
        <v>0</v>
      </c>
      <c r="AI872" s="79" t="s">
        <v>1531</v>
      </c>
      <c r="AJ872" s="65">
        <v>100</v>
      </c>
      <c r="AK872" s="78">
        <v>1423</v>
      </c>
      <c r="AL872" s="200"/>
      <c r="AM872" s="190"/>
      <c r="AN872" s="190"/>
      <c r="AO872" s="190"/>
      <c r="AP872" s="190"/>
      <c r="AQ872" s="190"/>
      <c r="AR872" s="190"/>
      <c r="AS872" s="190"/>
      <c r="AT872" s="201"/>
      <c r="AU872" s="190"/>
      <c r="AV872" s="202"/>
      <c r="AW872" s="190"/>
      <c r="AX872" s="190"/>
      <c r="AY872" s="79">
        <v>0.05</v>
      </c>
      <c r="AZ872" s="65">
        <v>184.3</v>
      </c>
      <c r="BA872" s="78"/>
      <c r="BB872" s="65"/>
      <c r="BC872" s="65"/>
      <c r="BD872" s="65"/>
      <c r="BE872" s="65"/>
      <c r="BF872" s="79"/>
      <c r="BG872" s="65"/>
      <c r="BH872" s="78"/>
      <c r="BI872" s="65"/>
      <c r="BJ872" s="68">
        <v>1</v>
      </c>
      <c r="BK872" s="13"/>
    </row>
    <row r="873" spans="1:63" ht="23.25" customHeight="1" x14ac:dyDescent="0.2">
      <c r="A873" s="7">
        <v>872</v>
      </c>
      <c r="B873" s="218">
        <v>928</v>
      </c>
      <c r="C873" s="218" t="s">
        <v>1596</v>
      </c>
      <c r="D873" s="225" t="s">
        <v>1208</v>
      </c>
      <c r="E873" s="54" t="s">
        <v>1662</v>
      </c>
      <c r="F873" s="16">
        <f>11.5/14*100</f>
        <v>82.142857142857139</v>
      </c>
      <c r="G873" s="8">
        <v>0</v>
      </c>
      <c r="H873" s="8">
        <f>1.5/14*100</f>
        <v>10.714285714285714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17">
        <v>0</v>
      </c>
      <c r="T873" s="8">
        <f>1/14*100</f>
        <v>7.1428571428571423</v>
      </c>
      <c r="U873" s="8">
        <v>0</v>
      </c>
      <c r="V873" s="8">
        <v>0</v>
      </c>
      <c r="W873" s="8">
        <v>0</v>
      </c>
      <c r="X873" s="8">
        <v>0</v>
      </c>
      <c r="Y873" s="8">
        <v>0</v>
      </c>
      <c r="Z873" s="8">
        <v>0</v>
      </c>
      <c r="AA873" s="8">
        <v>0</v>
      </c>
      <c r="AB873" s="8">
        <v>0</v>
      </c>
      <c r="AC873" s="8">
        <v>0</v>
      </c>
      <c r="AD873" s="14">
        <f t="shared" si="64"/>
        <v>99.999999999999986</v>
      </c>
      <c r="AE873" s="8">
        <v>0</v>
      </c>
      <c r="AF873" s="8">
        <v>0</v>
      </c>
      <c r="AG873" s="8">
        <v>0</v>
      </c>
      <c r="AH873" s="8">
        <f>0.1/14*100</f>
        <v>0.7142857142857143</v>
      </c>
      <c r="AI873" s="39" t="s">
        <v>1531</v>
      </c>
      <c r="AJ873" s="7">
        <v>480</v>
      </c>
      <c r="AK873" s="62">
        <v>1223</v>
      </c>
      <c r="AL873" s="158"/>
      <c r="AM873" s="85"/>
      <c r="AN873" s="85"/>
      <c r="AO873" s="85"/>
      <c r="AP873" s="85"/>
      <c r="AQ873" s="85"/>
      <c r="AR873" s="85"/>
      <c r="AS873" s="85"/>
      <c r="AT873" s="205"/>
      <c r="AU873" s="85"/>
      <c r="AV873" s="196"/>
      <c r="AW873" s="85"/>
      <c r="AX873" s="85"/>
      <c r="AY873" s="39">
        <v>0.01</v>
      </c>
      <c r="AZ873" s="7">
        <v>178</v>
      </c>
      <c r="BA873" s="62"/>
      <c r="BB873" s="7" t="s">
        <v>1229</v>
      </c>
      <c r="BC873" s="7" t="s">
        <v>1215</v>
      </c>
      <c r="BD873" s="7"/>
      <c r="BE873" s="7" t="s">
        <v>1218</v>
      </c>
      <c r="BF873" s="39"/>
      <c r="BG873" s="7"/>
      <c r="BH873" s="62"/>
      <c r="BI873" s="7"/>
      <c r="BJ873" s="32">
        <v>1</v>
      </c>
      <c r="BK873" s="54"/>
    </row>
    <row r="874" spans="1:63" ht="23.25" customHeight="1" x14ac:dyDescent="0.2">
      <c r="A874" s="62">
        <v>873</v>
      </c>
      <c r="B874" s="221"/>
      <c r="C874" s="221"/>
      <c r="D874" s="223"/>
      <c r="E874" s="54" t="s">
        <v>1663</v>
      </c>
      <c r="F874" s="16">
        <f t="shared" ref="F874:F875" si="79">11.5/14*100</f>
        <v>82.142857142857139</v>
      </c>
      <c r="G874" s="8">
        <v>0</v>
      </c>
      <c r="H874" s="8">
        <f t="shared" ref="H874:H875" si="80">1.5/14*100</f>
        <v>10.714285714285714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17">
        <v>0</v>
      </c>
      <c r="T874" s="8">
        <f t="shared" ref="T874:T875" si="81">1/14*100</f>
        <v>7.1428571428571423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14">
        <f t="shared" si="64"/>
        <v>99.999999999999986</v>
      </c>
      <c r="AE874" s="8">
        <v>0</v>
      </c>
      <c r="AF874" s="8">
        <v>0</v>
      </c>
      <c r="AG874" s="8">
        <v>0</v>
      </c>
      <c r="AH874" s="8">
        <f>0.2/14*100</f>
        <v>1.4285714285714286</v>
      </c>
      <c r="AI874" s="39" t="s">
        <v>1531</v>
      </c>
      <c r="AJ874" s="7">
        <v>480</v>
      </c>
      <c r="AK874" s="62">
        <v>1223</v>
      </c>
      <c r="AL874" s="158"/>
      <c r="AM874" s="85"/>
      <c r="AN874" s="85"/>
      <c r="AO874" s="85"/>
      <c r="AP874" s="85"/>
      <c r="AQ874" s="85"/>
      <c r="AR874" s="85"/>
      <c r="AS874" s="85"/>
      <c r="AT874" s="205"/>
      <c r="AU874" s="85"/>
      <c r="AV874" s="196"/>
      <c r="AW874" s="85"/>
      <c r="AX874" s="85"/>
      <c r="AY874" s="39">
        <v>0.01</v>
      </c>
      <c r="AZ874" s="7">
        <v>185</v>
      </c>
      <c r="BA874" s="62"/>
      <c r="BB874" s="7" t="s">
        <v>1229</v>
      </c>
      <c r="BC874" s="7" t="s">
        <v>1216</v>
      </c>
      <c r="BD874" s="7"/>
      <c r="BE874" s="7" t="s">
        <v>1219</v>
      </c>
      <c r="BF874" s="39"/>
      <c r="BG874" s="7"/>
      <c r="BH874" s="62"/>
      <c r="BI874" s="7"/>
      <c r="BJ874" s="32">
        <v>1</v>
      </c>
      <c r="BK874" s="54"/>
    </row>
    <row r="875" spans="1:63" ht="23.25" customHeight="1" thickBot="1" x14ac:dyDescent="0.25">
      <c r="A875" s="7">
        <v>874</v>
      </c>
      <c r="B875" s="222"/>
      <c r="C875" s="222"/>
      <c r="D875" s="224"/>
      <c r="E875" s="54" t="s">
        <v>1664</v>
      </c>
      <c r="F875" s="16">
        <f t="shared" si="79"/>
        <v>82.142857142857139</v>
      </c>
      <c r="G875" s="8">
        <v>0</v>
      </c>
      <c r="H875" s="8">
        <f t="shared" si="80"/>
        <v>10.714285714285714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17">
        <v>0</v>
      </c>
      <c r="T875" s="8">
        <f t="shared" si="81"/>
        <v>7.1428571428571423</v>
      </c>
      <c r="U875" s="8">
        <v>0</v>
      </c>
      <c r="V875" s="8">
        <v>0</v>
      </c>
      <c r="W875" s="8">
        <v>0</v>
      </c>
      <c r="X875" s="8">
        <v>0</v>
      </c>
      <c r="Y875" s="8">
        <v>0</v>
      </c>
      <c r="Z875" s="8">
        <v>0</v>
      </c>
      <c r="AA875" s="8">
        <v>0</v>
      </c>
      <c r="AB875" s="8">
        <v>0</v>
      </c>
      <c r="AC875" s="8">
        <v>0</v>
      </c>
      <c r="AD875" s="14">
        <f t="shared" si="64"/>
        <v>99.999999999999986</v>
      </c>
      <c r="AE875" s="8">
        <v>0</v>
      </c>
      <c r="AF875" s="8">
        <v>0</v>
      </c>
      <c r="AG875" s="8">
        <v>0</v>
      </c>
      <c r="AH875" s="8">
        <f>0.3/14*100</f>
        <v>2.1428571428571428</v>
      </c>
      <c r="AI875" s="39" t="s">
        <v>1531</v>
      </c>
      <c r="AJ875" s="7">
        <v>480</v>
      </c>
      <c r="AK875" s="62">
        <v>1223</v>
      </c>
      <c r="AL875" s="158"/>
      <c r="AM875" s="85"/>
      <c r="AN875" s="85"/>
      <c r="AO875" s="85"/>
      <c r="AP875" s="85"/>
      <c r="AQ875" s="85"/>
      <c r="AR875" s="85"/>
      <c r="AS875" s="85"/>
      <c r="AT875" s="205"/>
      <c r="AU875" s="85"/>
      <c r="AV875" s="196"/>
      <c r="AW875" s="85"/>
      <c r="AX875" s="85"/>
      <c r="AY875" s="39">
        <v>0.01</v>
      </c>
      <c r="AZ875" s="7">
        <v>189</v>
      </c>
      <c r="BA875" s="62"/>
      <c r="BB875" s="7" t="s">
        <v>1229</v>
      </c>
      <c r="BC875" s="7" t="s">
        <v>1217</v>
      </c>
      <c r="BD875" s="7"/>
      <c r="BE875" s="7" t="s">
        <v>1220</v>
      </c>
      <c r="BF875" s="39"/>
      <c r="BG875" s="7"/>
      <c r="BH875" s="62"/>
      <c r="BI875" s="7"/>
      <c r="BJ875" s="32">
        <v>1</v>
      </c>
      <c r="BK875" s="54"/>
    </row>
    <row r="876" spans="1:63" s="4" customFormat="1" ht="23.25" customHeight="1" x14ac:dyDescent="0.2">
      <c r="A876" s="62">
        <v>875</v>
      </c>
      <c r="B876" s="218">
        <v>929</v>
      </c>
      <c r="C876" s="218" t="s">
        <v>1597</v>
      </c>
      <c r="D876" s="12" t="s">
        <v>1209</v>
      </c>
      <c r="E876" s="12"/>
      <c r="F876" s="87">
        <f>11.7/14.3*100</f>
        <v>81.818181818181813</v>
      </c>
      <c r="G876" s="88">
        <f>1.3/14.3*100</f>
        <v>9.0909090909090917</v>
      </c>
      <c r="H876" s="88">
        <v>0</v>
      </c>
      <c r="I876" s="88">
        <v>0</v>
      </c>
      <c r="J876" s="88">
        <v>0</v>
      </c>
      <c r="K876" s="88">
        <v>0</v>
      </c>
      <c r="L876" s="88">
        <v>0</v>
      </c>
      <c r="M876" s="88">
        <v>0</v>
      </c>
      <c r="N876" s="88">
        <v>0</v>
      </c>
      <c r="O876" s="88">
        <v>0</v>
      </c>
      <c r="P876" s="88">
        <v>0</v>
      </c>
      <c r="Q876" s="88">
        <v>0</v>
      </c>
      <c r="R876" s="88">
        <v>0</v>
      </c>
      <c r="S876" s="89">
        <v>0</v>
      </c>
      <c r="T876" s="88">
        <f>1.3/14.3*100</f>
        <v>9.0909090909090917</v>
      </c>
      <c r="U876" s="88">
        <v>0</v>
      </c>
      <c r="V876" s="88">
        <v>0</v>
      </c>
      <c r="W876" s="88">
        <v>0</v>
      </c>
      <c r="X876" s="88">
        <v>0</v>
      </c>
      <c r="Y876" s="88">
        <v>0</v>
      </c>
      <c r="Z876" s="88">
        <v>0</v>
      </c>
      <c r="AA876" s="88">
        <v>0</v>
      </c>
      <c r="AB876" s="88">
        <v>0</v>
      </c>
      <c r="AC876" s="88">
        <v>0</v>
      </c>
      <c r="AD876" s="90">
        <f t="shared" si="64"/>
        <v>100</v>
      </c>
      <c r="AE876" s="88">
        <v>0</v>
      </c>
      <c r="AF876" s="88">
        <v>0</v>
      </c>
      <c r="AG876" s="88">
        <v>0</v>
      </c>
      <c r="AH876" s="88">
        <v>0</v>
      </c>
      <c r="AI876" s="156" t="s">
        <v>1531</v>
      </c>
      <c r="AJ876" s="45">
        <v>168</v>
      </c>
      <c r="AK876" s="91">
        <v>1323</v>
      </c>
      <c r="AL876" s="197"/>
      <c r="AM876" s="189"/>
      <c r="AN876" s="189"/>
      <c r="AO876" s="189"/>
      <c r="AP876" s="189"/>
      <c r="AQ876" s="189"/>
      <c r="AR876" s="189"/>
      <c r="AS876" s="189"/>
      <c r="AT876" s="198"/>
      <c r="AU876" s="189"/>
      <c r="AV876" s="199"/>
      <c r="AW876" s="189"/>
      <c r="AX876" s="189"/>
      <c r="AY876" s="156">
        <v>0.1</v>
      </c>
      <c r="AZ876" s="45">
        <v>198</v>
      </c>
      <c r="BA876" s="91"/>
      <c r="BB876" s="45" t="s">
        <v>1211</v>
      </c>
      <c r="BC876" s="45" t="s">
        <v>1212</v>
      </c>
      <c r="BD876" s="45"/>
      <c r="BE876" s="45" t="s">
        <v>1213</v>
      </c>
      <c r="BF876" s="156"/>
      <c r="BG876" s="45"/>
      <c r="BH876" s="91"/>
      <c r="BI876" s="45"/>
      <c r="BJ876" s="67">
        <v>1</v>
      </c>
      <c r="BK876" s="228" t="s">
        <v>1727</v>
      </c>
    </row>
    <row r="877" spans="1:63" s="6" customFormat="1" ht="23.25" customHeight="1" thickBot="1" x14ac:dyDescent="0.25">
      <c r="A877" s="7">
        <v>876</v>
      </c>
      <c r="B877" s="222"/>
      <c r="C877" s="222"/>
      <c r="D877" s="13" t="s">
        <v>1210</v>
      </c>
      <c r="E877" s="13"/>
      <c r="F877" s="80">
        <f>11.83/14.3*100</f>
        <v>82.727272727272734</v>
      </c>
      <c r="G877" s="81">
        <f>1.17/14.3*100</f>
        <v>8.1818181818181799</v>
      </c>
      <c r="H877" s="81">
        <v>0</v>
      </c>
      <c r="I877" s="81">
        <v>0</v>
      </c>
      <c r="J877" s="81">
        <v>0</v>
      </c>
      <c r="K877" s="81">
        <v>0</v>
      </c>
      <c r="L877" s="81">
        <v>0</v>
      </c>
      <c r="M877" s="81">
        <v>0</v>
      </c>
      <c r="N877" s="81">
        <v>0</v>
      </c>
      <c r="O877" s="81">
        <v>0</v>
      </c>
      <c r="P877" s="81">
        <v>0</v>
      </c>
      <c r="Q877" s="81">
        <v>0</v>
      </c>
      <c r="R877" s="81">
        <v>0</v>
      </c>
      <c r="S877" s="82">
        <v>0</v>
      </c>
      <c r="T877" s="81">
        <f>1.3/14.3*100</f>
        <v>9.0909090909090917</v>
      </c>
      <c r="U877" s="81">
        <v>0</v>
      </c>
      <c r="V877" s="81">
        <v>0</v>
      </c>
      <c r="W877" s="81">
        <v>0</v>
      </c>
      <c r="X877" s="81">
        <v>0</v>
      </c>
      <c r="Y877" s="81">
        <v>0</v>
      </c>
      <c r="Z877" s="81">
        <v>0</v>
      </c>
      <c r="AA877" s="81">
        <v>0</v>
      </c>
      <c r="AB877" s="81">
        <v>0</v>
      </c>
      <c r="AC877" s="81">
        <v>0</v>
      </c>
      <c r="AD877" s="83">
        <f t="shared" si="64"/>
        <v>100</v>
      </c>
      <c r="AE877" s="81">
        <v>0</v>
      </c>
      <c r="AF877" s="81">
        <v>0</v>
      </c>
      <c r="AG877" s="81">
        <v>0</v>
      </c>
      <c r="AH877" s="81">
        <v>0</v>
      </c>
      <c r="AI877" s="79" t="s">
        <v>1531</v>
      </c>
      <c r="AJ877" s="65">
        <v>168</v>
      </c>
      <c r="AK877" s="78">
        <v>1323</v>
      </c>
      <c r="AL877" s="200"/>
      <c r="AM877" s="190"/>
      <c r="AN877" s="190"/>
      <c r="AO877" s="190"/>
      <c r="AP877" s="190"/>
      <c r="AQ877" s="190"/>
      <c r="AR877" s="190"/>
      <c r="AS877" s="190"/>
      <c r="AT877" s="201"/>
      <c r="AU877" s="190"/>
      <c r="AV877" s="202"/>
      <c r="AW877" s="190"/>
      <c r="AX877" s="190"/>
      <c r="AY877" s="79">
        <v>0.1</v>
      </c>
      <c r="AZ877" s="65">
        <v>195</v>
      </c>
      <c r="BA877" s="78"/>
      <c r="BB877" s="65" t="s">
        <v>1211</v>
      </c>
      <c r="BC877" s="65" t="s">
        <v>1214</v>
      </c>
      <c r="BD877" s="65"/>
      <c r="BE877" s="65"/>
      <c r="BF877" s="79"/>
      <c r="BG877" s="65"/>
      <c r="BH877" s="78"/>
      <c r="BI877" s="65"/>
      <c r="BJ877" s="68">
        <v>1</v>
      </c>
      <c r="BK877" s="229"/>
    </row>
    <row r="878" spans="1:63" ht="23.25" customHeight="1" x14ac:dyDescent="0.2">
      <c r="A878" s="62">
        <v>877</v>
      </c>
      <c r="B878" s="218">
        <v>930</v>
      </c>
      <c r="C878" s="218" t="s">
        <v>1598</v>
      </c>
      <c r="D878" s="225" t="s">
        <v>185</v>
      </c>
      <c r="E878" s="54" t="s">
        <v>1720</v>
      </c>
      <c r="F878" s="16">
        <f>11.5/14*100</f>
        <v>82.142857142857139</v>
      </c>
      <c r="G878" s="8">
        <v>0</v>
      </c>
      <c r="H878" s="8">
        <f>1.5/14*100</f>
        <v>10.714285714285714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17">
        <v>0</v>
      </c>
      <c r="T878" s="8">
        <f>1/14*100</f>
        <v>7.1428571428571423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14">
        <f t="shared" si="64"/>
        <v>99.999999999999986</v>
      </c>
      <c r="AE878" s="8">
        <v>0</v>
      </c>
      <c r="AF878" s="8">
        <f>0.1/14*100</f>
        <v>0.7142857142857143</v>
      </c>
      <c r="AG878" s="8">
        <v>0</v>
      </c>
      <c r="AH878" s="8">
        <v>0</v>
      </c>
      <c r="AI878" s="39" t="s">
        <v>1531</v>
      </c>
      <c r="AJ878" s="7">
        <v>480</v>
      </c>
      <c r="AK878" s="62">
        <v>1223</v>
      </c>
      <c r="AL878" s="158"/>
      <c r="AM878" s="85"/>
      <c r="AN878" s="85"/>
      <c r="AO878" s="85"/>
      <c r="AP878" s="85"/>
      <c r="AQ878" s="85"/>
      <c r="AR878" s="85"/>
      <c r="AS878" s="85"/>
      <c r="AT878" s="205"/>
      <c r="AU878" s="85"/>
      <c r="AV878" s="196"/>
      <c r="AW878" s="85"/>
      <c r="AX878" s="85"/>
      <c r="AY878" s="39">
        <v>0.01</v>
      </c>
      <c r="AZ878" s="7">
        <v>190.1</v>
      </c>
      <c r="BA878" s="62"/>
      <c r="BB878" s="7" t="s">
        <v>523</v>
      </c>
      <c r="BC878" s="7" t="s">
        <v>1221</v>
      </c>
      <c r="BD878" s="7"/>
      <c r="BE878" s="7" t="s">
        <v>1222</v>
      </c>
      <c r="BF878" s="39"/>
      <c r="BG878" s="7"/>
      <c r="BH878" s="62"/>
      <c r="BI878" s="7"/>
      <c r="BJ878" s="32">
        <v>1</v>
      </c>
      <c r="BK878" s="54"/>
    </row>
    <row r="879" spans="1:63" ht="23.25" customHeight="1" x14ac:dyDescent="0.2">
      <c r="A879" s="7">
        <v>878</v>
      </c>
      <c r="B879" s="221"/>
      <c r="C879" s="221"/>
      <c r="D879" s="223"/>
      <c r="E879" s="54" t="s">
        <v>1721</v>
      </c>
      <c r="F879" s="16">
        <f t="shared" ref="F879:F882" si="82">11.5/14*100</f>
        <v>82.142857142857139</v>
      </c>
      <c r="G879" s="8">
        <v>0</v>
      </c>
      <c r="H879" s="8">
        <f t="shared" ref="H879:H882" si="83">1.5/14*100</f>
        <v>10.714285714285714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17">
        <v>0</v>
      </c>
      <c r="T879" s="8">
        <f t="shared" ref="T879:T887" si="84">1/14*100</f>
        <v>7.1428571428571423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0</v>
      </c>
      <c r="AC879" s="8">
        <v>0</v>
      </c>
      <c r="AD879" s="14">
        <f t="shared" ref="AD879:AD942" si="85">SUM(F879:AC879)</f>
        <v>99.999999999999986</v>
      </c>
      <c r="AE879" s="8">
        <v>0</v>
      </c>
      <c r="AF879" s="8">
        <f>0.2/14*100</f>
        <v>1.4285714285714286</v>
      </c>
      <c r="AG879" s="8">
        <v>0</v>
      </c>
      <c r="AH879" s="8">
        <v>0</v>
      </c>
      <c r="AI879" s="39" t="s">
        <v>1531</v>
      </c>
      <c r="AJ879" s="7">
        <v>480</v>
      </c>
      <c r="AK879" s="62">
        <v>1223</v>
      </c>
      <c r="AL879" s="158"/>
      <c r="AM879" s="85"/>
      <c r="AN879" s="85"/>
      <c r="AO879" s="85"/>
      <c r="AP879" s="85"/>
      <c r="AQ879" s="85"/>
      <c r="AR879" s="85"/>
      <c r="AS879" s="85"/>
      <c r="AT879" s="205"/>
      <c r="AU879" s="85"/>
      <c r="AV879" s="196"/>
      <c r="AW879" s="85"/>
      <c r="AX879" s="85"/>
      <c r="AY879" s="39">
        <v>0.01</v>
      </c>
      <c r="AZ879" s="7">
        <v>217.3</v>
      </c>
      <c r="BA879" s="62"/>
      <c r="BB879" s="7" t="s">
        <v>523</v>
      </c>
      <c r="BC879" s="7" t="s">
        <v>1223</v>
      </c>
      <c r="BD879" s="7"/>
      <c r="BE879" s="7" t="s">
        <v>1224</v>
      </c>
      <c r="BF879" s="39"/>
      <c r="BG879" s="7"/>
      <c r="BH879" s="62"/>
      <c r="BI879" s="7"/>
      <c r="BJ879" s="32">
        <v>1</v>
      </c>
      <c r="BK879" s="54"/>
    </row>
    <row r="880" spans="1:63" ht="23.25" customHeight="1" x14ac:dyDescent="0.2">
      <c r="A880" s="62">
        <v>879</v>
      </c>
      <c r="B880" s="221"/>
      <c r="C880" s="221"/>
      <c r="D880" s="223"/>
      <c r="E880" s="54" t="s">
        <v>1687</v>
      </c>
      <c r="F880" s="16">
        <f t="shared" si="82"/>
        <v>82.142857142857139</v>
      </c>
      <c r="G880" s="8">
        <v>0</v>
      </c>
      <c r="H880" s="8">
        <f t="shared" si="83"/>
        <v>10.714285714285714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17">
        <v>0</v>
      </c>
      <c r="T880" s="8">
        <f t="shared" si="84"/>
        <v>7.1428571428571423</v>
      </c>
      <c r="U880" s="8">
        <v>0</v>
      </c>
      <c r="V880" s="8">
        <v>0</v>
      </c>
      <c r="W880" s="8">
        <v>0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14">
        <f t="shared" si="85"/>
        <v>99.999999999999986</v>
      </c>
      <c r="AE880" s="8">
        <v>0</v>
      </c>
      <c r="AF880" s="8">
        <f>0.3/14*100</f>
        <v>2.1428571428571428</v>
      </c>
      <c r="AG880" s="8">
        <v>0</v>
      </c>
      <c r="AH880" s="8">
        <v>0</v>
      </c>
      <c r="AI880" s="39" t="s">
        <v>1531</v>
      </c>
      <c r="AJ880" s="7">
        <v>480</v>
      </c>
      <c r="AK880" s="62">
        <v>1223</v>
      </c>
      <c r="AL880" s="158"/>
      <c r="AM880" s="85"/>
      <c r="AN880" s="85"/>
      <c r="AO880" s="85"/>
      <c r="AP880" s="85"/>
      <c r="AQ880" s="85"/>
      <c r="AR880" s="85"/>
      <c r="AS880" s="85"/>
      <c r="AT880" s="205"/>
      <c r="AU880" s="85"/>
      <c r="AV880" s="196"/>
      <c r="AW880" s="85"/>
      <c r="AX880" s="85"/>
      <c r="AY880" s="39">
        <v>0.01</v>
      </c>
      <c r="AZ880" s="7">
        <v>234.6</v>
      </c>
      <c r="BA880" s="62"/>
      <c r="BB880" s="7"/>
      <c r="BC880" s="7"/>
      <c r="BD880" s="7"/>
      <c r="BE880" s="7"/>
      <c r="BF880" s="39"/>
      <c r="BG880" s="7"/>
      <c r="BH880" s="62"/>
      <c r="BI880" s="7"/>
      <c r="BJ880" s="32">
        <v>1</v>
      </c>
      <c r="BK880" s="54"/>
    </row>
    <row r="881" spans="1:63" ht="23.25" customHeight="1" x14ac:dyDescent="0.2">
      <c r="A881" s="7">
        <v>880</v>
      </c>
      <c r="B881" s="221"/>
      <c r="C881" s="221"/>
      <c r="D881" s="223"/>
      <c r="E881" s="54" t="s">
        <v>1722</v>
      </c>
      <c r="F881" s="16">
        <f t="shared" si="82"/>
        <v>82.142857142857139</v>
      </c>
      <c r="G881" s="8">
        <v>0</v>
      </c>
      <c r="H881" s="8">
        <f t="shared" si="83"/>
        <v>10.714285714285714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17">
        <v>0</v>
      </c>
      <c r="T881" s="8">
        <f t="shared" si="84"/>
        <v>7.1428571428571423</v>
      </c>
      <c r="U881" s="8">
        <v>0</v>
      </c>
      <c r="V881" s="8">
        <v>0</v>
      </c>
      <c r="W881" s="8">
        <v>0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14">
        <f t="shared" si="85"/>
        <v>99.999999999999986</v>
      </c>
      <c r="AE881" s="8">
        <v>0</v>
      </c>
      <c r="AF881" s="8">
        <f>0.4/14*100</f>
        <v>2.8571428571428572</v>
      </c>
      <c r="AG881" s="8">
        <v>0</v>
      </c>
      <c r="AH881" s="8">
        <v>0</v>
      </c>
      <c r="AI881" s="39" t="s">
        <v>1531</v>
      </c>
      <c r="AJ881" s="7">
        <v>480</v>
      </c>
      <c r="AK881" s="62">
        <v>1223</v>
      </c>
      <c r="AL881" s="158"/>
      <c r="AM881" s="85"/>
      <c r="AN881" s="85"/>
      <c r="AO881" s="85"/>
      <c r="AP881" s="85"/>
      <c r="AQ881" s="85"/>
      <c r="AR881" s="85"/>
      <c r="AS881" s="85"/>
      <c r="AT881" s="205"/>
      <c r="AU881" s="85"/>
      <c r="AV881" s="196"/>
      <c r="AW881" s="85"/>
      <c r="AX881" s="85"/>
      <c r="AY881" s="39">
        <v>0.01</v>
      </c>
      <c r="AZ881" s="7">
        <v>242.8</v>
      </c>
      <c r="BA881" s="62"/>
      <c r="BB881" s="7" t="s">
        <v>523</v>
      </c>
      <c r="BC881" s="7" t="s">
        <v>1225</v>
      </c>
      <c r="BD881" s="7"/>
      <c r="BE881" s="7" t="s">
        <v>1226</v>
      </c>
      <c r="BF881" s="39"/>
      <c r="BG881" s="7"/>
      <c r="BH881" s="62"/>
      <c r="BI881" s="7"/>
      <c r="BJ881" s="32">
        <v>1</v>
      </c>
      <c r="BK881" s="54"/>
    </row>
    <row r="882" spans="1:63" ht="23.25" customHeight="1" thickBot="1" x14ac:dyDescent="0.25">
      <c r="A882" s="62">
        <v>881</v>
      </c>
      <c r="B882" s="222"/>
      <c r="C882" s="222"/>
      <c r="D882" s="224"/>
      <c r="E882" s="54" t="s">
        <v>1723</v>
      </c>
      <c r="F882" s="16">
        <f t="shared" si="82"/>
        <v>82.142857142857139</v>
      </c>
      <c r="G882" s="8">
        <v>0</v>
      </c>
      <c r="H882" s="8">
        <f t="shared" si="83"/>
        <v>10.714285714285714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17">
        <v>0</v>
      </c>
      <c r="T882" s="8">
        <f t="shared" si="84"/>
        <v>7.1428571428571423</v>
      </c>
      <c r="U882" s="8">
        <v>0</v>
      </c>
      <c r="V882" s="8">
        <v>0</v>
      </c>
      <c r="W882" s="8">
        <v>0</v>
      </c>
      <c r="X882" s="8">
        <v>0</v>
      </c>
      <c r="Y882" s="8">
        <v>0</v>
      </c>
      <c r="Z882" s="8">
        <v>0</v>
      </c>
      <c r="AA882" s="8">
        <v>0</v>
      </c>
      <c r="AB882" s="8">
        <v>0</v>
      </c>
      <c r="AC882" s="8">
        <v>0</v>
      </c>
      <c r="AD882" s="14">
        <f t="shared" si="85"/>
        <v>99.999999999999986</v>
      </c>
      <c r="AE882" s="8">
        <v>0</v>
      </c>
      <c r="AF882" s="8">
        <f>0.5/14*100</f>
        <v>3.5714285714285712</v>
      </c>
      <c r="AG882" s="8">
        <v>0</v>
      </c>
      <c r="AH882" s="8">
        <v>0</v>
      </c>
      <c r="AI882" s="39" t="s">
        <v>1531</v>
      </c>
      <c r="AJ882" s="7">
        <v>480</v>
      </c>
      <c r="AK882" s="62">
        <v>1223</v>
      </c>
      <c r="AL882" s="158"/>
      <c r="AM882" s="85"/>
      <c r="AN882" s="85"/>
      <c r="AO882" s="85"/>
      <c r="AP882" s="85"/>
      <c r="AQ882" s="85"/>
      <c r="AR882" s="85"/>
      <c r="AS882" s="85"/>
      <c r="AT882" s="205"/>
      <c r="AU882" s="85"/>
      <c r="AV882" s="196"/>
      <c r="AW882" s="85"/>
      <c r="AX882" s="85"/>
      <c r="AY882" s="39">
        <v>0.01</v>
      </c>
      <c r="AZ882" s="7">
        <v>260.5</v>
      </c>
      <c r="BA882" s="62"/>
      <c r="BB882" s="7" t="s">
        <v>523</v>
      </c>
      <c r="BC882" s="7" t="s">
        <v>1227</v>
      </c>
      <c r="BD882" s="7"/>
      <c r="BE882" s="7" t="s">
        <v>1228</v>
      </c>
      <c r="BF882" s="39"/>
      <c r="BG882" s="7"/>
      <c r="BH882" s="62"/>
      <c r="BI882" s="7"/>
      <c r="BJ882" s="32">
        <v>1</v>
      </c>
      <c r="BK882" s="54"/>
    </row>
    <row r="883" spans="1:63" s="19" customFormat="1" ht="23.25" customHeight="1" thickBot="1" x14ac:dyDescent="0.25">
      <c r="A883" s="7">
        <v>882</v>
      </c>
      <c r="B883" s="108">
        <v>931</v>
      </c>
      <c r="C883" s="108" t="s">
        <v>1599</v>
      </c>
      <c r="D883" s="21" t="s">
        <v>10</v>
      </c>
      <c r="E883" s="21"/>
      <c r="F883" s="99">
        <f>11.5/14*100</f>
        <v>82.142857142857139</v>
      </c>
      <c r="G883" s="100">
        <f>1.5/14*100</f>
        <v>10.714285714285714</v>
      </c>
      <c r="H883" s="100">
        <v>0</v>
      </c>
      <c r="I883" s="100">
        <v>0</v>
      </c>
      <c r="J883" s="100">
        <v>0</v>
      </c>
      <c r="K883" s="100">
        <v>0</v>
      </c>
      <c r="L883" s="100">
        <v>0</v>
      </c>
      <c r="M883" s="100">
        <v>0</v>
      </c>
      <c r="N883" s="100">
        <v>0</v>
      </c>
      <c r="O883" s="100">
        <v>0</v>
      </c>
      <c r="P883" s="100">
        <v>0</v>
      </c>
      <c r="Q883" s="100">
        <v>0</v>
      </c>
      <c r="R883" s="100">
        <v>0</v>
      </c>
      <c r="S883" s="101">
        <v>0</v>
      </c>
      <c r="T883" s="100">
        <f>1/14*100</f>
        <v>7.1428571428571423</v>
      </c>
      <c r="U883" s="100">
        <v>0</v>
      </c>
      <c r="V883" s="100">
        <v>0</v>
      </c>
      <c r="W883" s="100">
        <v>0</v>
      </c>
      <c r="X883" s="100">
        <v>0</v>
      </c>
      <c r="Y883" s="100">
        <v>0</v>
      </c>
      <c r="Z883" s="100">
        <v>0</v>
      </c>
      <c r="AA883" s="100">
        <v>0</v>
      </c>
      <c r="AB883" s="100">
        <v>0</v>
      </c>
      <c r="AC883" s="100">
        <v>0</v>
      </c>
      <c r="AD883" s="102">
        <f t="shared" si="85"/>
        <v>99.999999999999986</v>
      </c>
      <c r="AE883" s="100">
        <v>0</v>
      </c>
      <c r="AF883" s="100">
        <v>0</v>
      </c>
      <c r="AG883" s="100">
        <v>0</v>
      </c>
      <c r="AH883" s="100">
        <v>0</v>
      </c>
      <c r="AI883" s="120" t="s">
        <v>1529</v>
      </c>
      <c r="AJ883" s="98">
        <v>2</v>
      </c>
      <c r="AK883" s="105">
        <v>1273</v>
      </c>
      <c r="AL883" s="206"/>
      <c r="AM883" s="194"/>
      <c r="AN883" s="194"/>
      <c r="AO883" s="194"/>
      <c r="AP883" s="194"/>
      <c r="AQ883" s="194"/>
      <c r="AR883" s="194"/>
      <c r="AS883" s="194"/>
      <c r="AT883" s="207"/>
      <c r="AU883" s="194"/>
      <c r="AV883" s="208"/>
      <c r="AW883" s="194"/>
      <c r="AX883" s="194"/>
      <c r="AY883" s="120">
        <v>0.01</v>
      </c>
      <c r="AZ883" s="98">
        <v>194</v>
      </c>
      <c r="BA883" s="105"/>
      <c r="BB883" s="98" t="s">
        <v>1230</v>
      </c>
      <c r="BC883" s="98" t="s">
        <v>1231</v>
      </c>
      <c r="BD883" s="98"/>
      <c r="BE883" s="98" t="s">
        <v>1232</v>
      </c>
      <c r="BF883" s="120"/>
      <c r="BG883" s="98"/>
      <c r="BH883" s="105"/>
      <c r="BI883" s="98"/>
      <c r="BJ883" s="70">
        <v>1</v>
      </c>
      <c r="BK883" s="173" t="s">
        <v>1728</v>
      </c>
    </row>
    <row r="884" spans="1:63" ht="23.25" customHeight="1" x14ac:dyDescent="0.2">
      <c r="A884" s="62">
        <v>883</v>
      </c>
      <c r="B884" s="218">
        <v>932</v>
      </c>
      <c r="C884" s="218" t="s">
        <v>1600</v>
      </c>
      <c r="D884" s="54" t="s">
        <v>1233</v>
      </c>
      <c r="E884" s="54"/>
      <c r="F884" s="16">
        <f>11.09/14*100</f>
        <v>79.214285714285708</v>
      </c>
      <c r="G884" s="8">
        <f>1.05/14*100</f>
        <v>7.5</v>
      </c>
      <c r="H884" s="8">
        <v>0</v>
      </c>
      <c r="I884" s="8">
        <v>0</v>
      </c>
      <c r="J884" s="8">
        <f>0.86/14*100</f>
        <v>6.1428571428571432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17">
        <v>0</v>
      </c>
      <c r="T884" s="8">
        <f t="shared" si="84"/>
        <v>7.1428571428571423</v>
      </c>
      <c r="U884" s="8">
        <v>0</v>
      </c>
      <c r="V884" s="8">
        <v>0</v>
      </c>
      <c r="W884" s="8">
        <v>0</v>
      </c>
      <c r="X884" s="8">
        <v>0</v>
      </c>
      <c r="Y884" s="8">
        <v>0</v>
      </c>
      <c r="Z884" s="8">
        <v>0</v>
      </c>
      <c r="AA884" s="8">
        <v>0</v>
      </c>
      <c r="AB884" s="8">
        <v>0</v>
      </c>
      <c r="AC884" s="8">
        <v>0</v>
      </c>
      <c r="AD884" s="14">
        <f t="shared" si="85"/>
        <v>99.999999999999986</v>
      </c>
      <c r="AE884" s="8">
        <v>0</v>
      </c>
      <c r="AF884" s="8">
        <v>0</v>
      </c>
      <c r="AG884" s="8">
        <v>0</v>
      </c>
      <c r="AH884" s="8">
        <v>0</v>
      </c>
      <c r="AI884" s="39" t="s">
        <v>1531</v>
      </c>
      <c r="AJ884" s="7"/>
      <c r="AK884" s="62"/>
      <c r="AL884" s="158"/>
      <c r="AM884" s="85"/>
      <c r="AN884" s="85"/>
      <c r="AO884" s="85"/>
      <c r="AP884" s="85"/>
      <c r="AQ884" s="85"/>
      <c r="AR884" s="85"/>
      <c r="AS884" s="85"/>
      <c r="AT884" s="205"/>
      <c r="AU884" s="85"/>
      <c r="AV884" s="196"/>
      <c r="AW884" s="85"/>
      <c r="AX884" s="85"/>
      <c r="AY884" s="39">
        <v>0.05</v>
      </c>
      <c r="AZ884" s="7">
        <v>284.5</v>
      </c>
      <c r="BA884" s="62">
        <v>3.3</v>
      </c>
      <c r="BB884" s="7">
        <v>2</v>
      </c>
      <c r="BC884" s="7">
        <v>8.6999999999999993</v>
      </c>
      <c r="BD884" s="7"/>
      <c r="BE884" s="7">
        <v>18.600000000000001</v>
      </c>
      <c r="BF884" s="39">
        <v>1.9</v>
      </c>
      <c r="BG884" s="7">
        <v>3.3</v>
      </c>
      <c r="BH884" s="62"/>
      <c r="BI884" s="7"/>
      <c r="BJ884" s="32">
        <v>1</v>
      </c>
      <c r="BK884" s="228" t="s">
        <v>1729</v>
      </c>
    </row>
    <row r="885" spans="1:63" ht="23.25" customHeight="1" x14ac:dyDescent="0.2">
      <c r="A885" s="7">
        <v>884</v>
      </c>
      <c r="B885" s="221"/>
      <c r="C885" s="221"/>
      <c r="D885" s="54" t="s">
        <v>1234</v>
      </c>
      <c r="E885" s="54"/>
      <c r="F885" s="16">
        <f>10.81/14*100</f>
        <v>77.214285714285708</v>
      </c>
      <c r="G885" s="8">
        <f>1.01/14*100</f>
        <v>7.2142857142857144</v>
      </c>
      <c r="H885" s="8">
        <v>0</v>
      </c>
      <c r="I885" s="8">
        <v>0</v>
      </c>
      <c r="J885" s="8">
        <f>1.18/14*100</f>
        <v>8.4285714285714288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17">
        <v>0</v>
      </c>
      <c r="T885" s="8">
        <f t="shared" si="84"/>
        <v>7.1428571428571423</v>
      </c>
      <c r="U885" s="8">
        <v>0</v>
      </c>
      <c r="V885" s="8">
        <v>0</v>
      </c>
      <c r="W885" s="8">
        <v>0</v>
      </c>
      <c r="X885" s="8">
        <v>0</v>
      </c>
      <c r="Y885" s="8">
        <v>0</v>
      </c>
      <c r="Z885" s="8">
        <v>0</v>
      </c>
      <c r="AA885" s="8">
        <v>0</v>
      </c>
      <c r="AB885" s="8">
        <v>0</v>
      </c>
      <c r="AC885" s="8">
        <v>0</v>
      </c>
      <c r="AD885" s="14">
        <f t="shared" si="85"/>
        <v>99.999999999999986</v>
      </c>
      <c r="AE885" s="8">
        <v>0</v>
      </c>
      <c r="AF885" s="8">
        <v>0</v>
      </c>
      <c r="AG885" s="8">
        <v>0</v>
      </c>
      <c r="AH885" s="8">
        <v>0</v>
      </c>
      <c r="AI885" s="39" t="s">
        <v>1531</v>
      </c>
      <c r="AJ885" s="7"/>
      <c r="AK885" s="62"/>
      <c r="AL885" s="158"/>
      <c r="AM885" s="85"/>
      <c r="AN885" s="85"/>
      <c r="AO885" s="85"/>
      <c r="AP885" s="85"/>
      <c r="AQ885" s="85"/>
      <c r="AR885" s="85"/>
      <c r="AS885" s="85"/>
      <c r="AT885" s="205"/>
      <c r="AU885" s="85"/>
      <c r="AV885" s="196"/>
      <c r="AW885" s="85"/>
      <c r="AX885" s="85"/>
      <c r="AY885" s="39">
        <v>0.05</v>
      </c>
      <c r="AZ885" s="7">
        <v>316.89999999999998</v>
      </c>
      <c r="BA885" s="62">
        <v>3.8</v>
      </c>
      <c r="BB885" s="7">
        <v>2</v>
      </c>
      <c r="BC885" s="7">
        <v>7.2</v>
      </c>
      <c r="BD885" s="7"/>
      <c r="BE885" s="7">
        <v>23.7</v>
      </c>
      <c r="BF885" s="39">
        <v>1.9</v>
      </c>
      <c r="BG885" s="7">
        <v>3</v>
      </c>
      <c r="BH885" s="62"/>
      <c r="BI885" s="7"/>
      <c r="BJ885" s="32">
        <v>1</v>
      </c>
      <c r="BK885" s="230"/>
    </row>
    <row r="886" spans="1:63" ht="23.25" customHeight="1" x14ac:dyDescent="0.2">
      <c r="A886" s="62">
        <v>885</v>
      </c>
      <c r="B886" s="221"/>
      <c r="C886" s="221"/>
      <c r="D886" s="54" t="s">
        <v>1235</v>
      </c>
      <c r="E886" s="54"/>
      <c r="F886" s="16">
        <f>10.63/14*100</f>
        <v>75.928571428571431</v>
      </c>
      <c r="G886" s="8">
        <f>1.04/14*100</f>
        <v>7.4285714285714288</v>
      </c>
      <c r="H886" s="8">
        <v>0</v>
      </c>
      <c r="I886" s="8">
        <v>0</v>
      </c>
      <c r="J886" s="8">
        <f>1.33/14*100</f>
        <v>9.5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17">
        <v>0</v>
      </c>
      <c r="T886" s="8">
        <f t="shared" si="84"/>
        <v>7.1428571428571423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14">
        <f t="shared" si="85"/>
        <v>100</v>
      </c>
      <c r="AE886" s="8">
        <v>0</v>
      </c>
      <c r="AF886" s="8">
        <v>0</v>
      </c>
      <c r="AG886" s="8">
        <v>0</v>
      </c>
      <c r="AH886" s="8">
        <v>0</v>
      </c>
      <c r="AI886" s="39" t="s">
        <v>1531</v>
      </c>
      <c r="AJ886" s="7"/>
      <c r="AK886" s="62"/>
      <c r="AL886" s="158"/>
      <c r="AM886" s="85"/>
      <c r="AN886" s="85"/>
      <c r="AO886" s="85"/>
      <c r="AP886" s="85"/>
      <c r="AQ886" s="85"/>
      <c r="AR886" s="85"/>
      <c r="AS886" s="85"/>
      <c r="AT886" s="205"/>
      <c r="AU886" s="85"/>
      <c r="AV886" s="196"/>
      <c r="AW886" s="85"/>
      <c r="AX886" s="85"/>
      <c r="AY886" s="39">
        <v>0.05</v>
      </c>
      <c r="AZ886" s="7">
        <v>325.10000000000002</v>
      </c>
      <c r="BA886" s="62">
        <v>3.3</v>
      </c>
      <c r="BB886" s="7">
        <v>2</v>
      </c>
      <c r="BC886" s="7">
        <v>6.6</v>
      </c>
      <c r="BD886" s="7"/>
      <c r="BE886" s="7">
        <v>26.2</v>
      </c>
      <c r="BF886" s="39">
        <v>1.9</v>
      </c>
      <c r="BG886" s="7">
        <v>2.6</v>
      </c>
      <c r="BH886" s="62"/>
      <c r="BI886" s="7"/>
      <c r="BJ886" s="32">
        <v>1</v>
      </c>
      <c r="BK886" s="230"/>
    </row>
    <row r="887" spans="1:63" ht="23.25" customHeight="1" thickBot="1" x14ac:dyDescent="0.25">
      <c r="A887" s="7">
        <v>886</v>
      </c>
      <c r="B887" s="222"/>
      <c r="C887" s="222"/>
      <c r="D887" s="54" t="s">
        <v>1236</v>
      </c>
      <c r="E887" s="54"/>
      <c r="F887" s="16">
        <f>10.54/14*100</f>
        <v>75.285714285714278</v>
      </c>
      <c r="G887" s="8">
        <f>1.03/14*100</f>
        <v>7.3571428571428577</v>
      </c>
      <c r="H887" s="8">
        <v>0</v>
      </c>
      <c r="I887" s="8">
        <v>0</v>
      </c>
      <c r="J887" s="8">
        <f>1.43/14*100</f>
        <v>10.214285714285714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17">
        <v>0</v>
      </c>
      <c r="T887" s="8">
        <f t="shared" si="84"/>
        <v>7.1428571428571423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8">
        <v>0</v>
      </c>
      <c r="AA887" s="8">
        <v>0</v>
      </c>
      <c r="AB887" s="8">
        <v>0</v>
      </c>
      <c r="AC887" s="8">
        <v>0</v>
      </c>
      <c r="AD887" s="14">
        <f t="shared" si="85"/>
        <v>99.999999999999986</v>
      </c>
      <c r="AE887" s="8">
        <v>0</v>
      </c>
      <c r="AF887" s="8">
        <v>0</v>
      </c>
      <c r="AG887" s="8">
        <v>0</v>
      </c>
      <c r="AH887" s="8">
        <v>0</v>
      </c>
      <c r="AI887" s="39" t="s">
        <v>1531</v>
      </c>
      <c r="AJ887" s="7"/>
      <c r="AK887" s="62"/>
      <c r="AL887" s="158"/>
      <c r="AM887" s="85"/>
      <c r="AN887" s="85"/>
      <c r="AO887" s="85"/>
      <c r="AP887" s="85"/>
      <c r="AQ887" s="85"/>
      <c r="AR887" s="85"/>
      <c r="AS887" s="85"/>
      <c r="AT887" s="205"/>
      <c r="AU887" s="85"/>
      <c r="AV887" s="196"/>
      <c r="AW887" s="85"/>
      <c r="AX887" s="85"/>
      <c r="AY887" s="39">
        <v>0.05</v>
      </c>
      <c r="AZ887" s="7">
        <v>335</v>
      </c>
      <c r="BA887" s="62">
        <v>2.2000000000000002</v>
      </c>
      <c r="BB887" s="7">
        <v>2</v>
      </c>
      <c r="BC887" s="7">
        <v>6.2</v>
      </c>
      <c r="BD887" s="7"/>
      <c r="BE887" s="7">
        <v>28.8</v>
      </c>
      <c r="BF887" s="39">
        <v>1.9</v>
      </c>
      <c r="BG887" s="7">
        <v>2.5</v>
      </c>
      <c r="BH887" s="62"/>
      <c r="BI887" s="7"/>
      <c r="BJ887" s="32">
        <v>1</v>
      </c>
      <c r="BK887" s="229"/>
    </row>
    <row r="888" spans="1:63" s="19" customFormat="1" ht="23.25" customHeight="1" thickBot="1" x14ac:dyDescent="0.25">
      <c r="A888" s="62">
        <v>887</v>
      </c>
      <c r="B888" s="108">
        <v>935</v>
      </c>
      <c r="C888" s="108" t="s">
        <v>1601</v>
      </c>
      <c r="D888" s="21" t="s">
        <v>1237</v>
      </c>
      <c r="E888" s="21"/>
      <c r="F888" s="99">
        <f>12.5/15*100</f>
        <v>83.333333333333343</v>
      </c>
      <c r="G888" s="100">
        <f>1.3/15*100</f>
        <v>8.6666666666666679</v>
      </c>
      <c r="H888" s="100">
        <v>0</v>
      </c>
      <c r="I888" s="100">
        <v>0</v>
      </c>
      <c r="J888" s="100">
        <v>0</v>
      </c>
      <c r="K888" s="100">
        <v>0</v>
      </c>
      <c r="L888" s="100">
        <v>0</v>
      </c>
      <c r="M888" s="100">
        <v>0</v>
      </c>
      <c r="N888" s="100">
        <v>0</v>
      </c>
      <c r="O888" s="100">
        <v>0</v>
      </c>
      <c r="P888" s="100">
        <f>0.2/15*100</f>
        <v>1.3333333333333335</v>
      </c>
      <c r="Q888" s="100">
        <v>0</v>
      </c>
      <c r="R888" s="100">
        <v>0</v>
      </c>
      <c r="S888" s="101">
        <v>0</v>
      </c>
      <c r="T888" s="100">
        <f>0.8/15*100</f>
        <v>5.3333333333333339</v>
      </c>
      <c r="U888" s="100">
        <v>0</v>
      </c>
      <c r="V888" s="100">
        <f>0.2/15*100</f>
        <v>1.3333333333333335</v>
      </c>
      <c r="W888" s="100">
        <v>0</v>
      </c>
      <c r="X888" s="100">
        <v>0</v>
      </c>
      <c r="Y888" s="100">
        <v>0</v>
      </c>
      <c r="Z888" s="100">
        <v>0</v>
      </c>
      <c r="AA888" s="100">
        <v>0</v>
      </c>
      <c r="AB888" s="100">
        <v>0</v>
      </c>
      <c r="AC888" s="100">
        <v>0</v>
      </c>
      <c r="AD888" s="102">
        <f t="shared" si="85"/>
        <v>100</v>
      </c>
      <c r="AE888" s="100">
        <v>0</v>
      </c>
      <c r="AF888" s="100">
        <v>0</v>
      </c>
      <c r="AG888" s="100">
        <v>0</v>
      </c>
      <c r="AH888" s="100">
        <v>0</v>
      </c>
      <c r="AI888" s="120" t="s">
        <v>1531</v>
      </c>
      <c r="AJ888" s="98">
        <v>192</v>
      </c>
      <c r="AK888" s="105">
        <v>1323</v>
      </c>
      <c r="AL888" s="206"/>
      <c r="AM888" s="194"/>
      <c r="AN888" s="194"/>
      <c r="AO888" s="194"/>
      <c r="AP888" s="194"/>
      <c r="AQ888" s="194"/>
      <c r="AR888" s="194"/>
      <c r="AS888" s="194"/>
      <c r="AT888" s="207"/>
      <c r="AU888" s="194"/>
      <c r="AV888" s="208"/>
      <c r="AW888" s="194"/>
      <c r="AX888" s="194"/>
      <c r="AY888" s="120">
        <v>0.05</v>
      </c>
      <c r="AZ888" s="98">
        <v>152</v>
      </c>
      <c r="BA888" s="105"/>
      <c r="BB888" s="98" t="s">
        <v>1238</v>
      </c>
      <c r="BC888" s="98" t="s">
        <v>1239</v>
      </c>
      <c r="BD888" s="98"/>
      <c r="BE888" s="98" t="s">
        <v>1240</v>
      </c>
      <c r="BF888" s="120"/>
      <c r="BG888" s="98"/>
      <c r="BH888" s="105"/>
      <c r="BI888" s="98"/>
      <c r="BJ888" s="70">
        <v>1</v>
      </c>
      <c r="BK888" s="21"/>
    </row>
    <row r="889" spans="1:63" ht="23.25" customHeight="1" x14ac:dyDescent="0.2">
      <c r="A889" s="7">
        <v>888</v>
      </c>
      <c r="B889" s="218">
        <v>936</v>
      </c>
      <c r="C889" s="218" t="s">
        <v>1602</v>
      </c>
      <c r="D889" s="225" t="s">
        <v>1241</v>
      </c>
      <c r="E889" s="54"/>
      <c r="F889" s="16">
        <f>(0.99*11.5)/14*100</f>
        <v>81.321428571428569</v>
      </c>
      <c r="G889" s="109">
        <f>1.5/14*100</f>
        <v>10.714285714285714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f>(0.01*11.5)/14*100</f>
        <v>0.8214285714285714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17">
        <v>0</v>
      </c>
      <c r="T889" s="8">
        <f>1/14*100</f>
        <v>7.1428571428571423</v>
      </c>
      <c r="U889" s="8">
        <v>0</v>
      </c>
      <c r="V889" s="8">
        <v>0</v>
      </c>
      <c r="W889" s="8">
        <v>0</v>
      </c>
      <c r="X889" s="8">
        <v>0</v>
      </c>
      <c r="Y889" s="8">
        <v>0</v>
      </c>
      <c r="Z889" s="8">
        <v>0</v>
      </c>
      <c r="AA889" s="8">
        <v>0</v>
      </c>
      <c r="AB889" s="8">
        <v>0</v>
      </c>
      <c r="AC889" s="8">
        <v>0</v>
      </c>
      <c r="AD889" s="14">
        <f t="shared" si="85"/>
        <v>99.999999999999986</v>
      </c>
      <c r="AE889" s="8">
        <v>0</v>
      </c>
      <c r="AF889" s="8">
        <v>0</v>
      </c>
      <c r="AG889" s="8">
        <v>0</v>
      </c>
      <c r="AH889" s="8">
        <v>0</v>
      </c>
      <c r="AI889" s="39" t="s">
        <v>1531</v>
      </c>
      <c r="AJ889" s="7">
        <v>100</v>
      </c>
      <c r="AK889" s="62">
        <v>1323</v>
      </c>
      <c r="AL889" s="158"/>
      <c r="AM889" s="85"/>
      <c r="AN889" s="85"/>
      <c r="AO889" s="85"/>
      <c r="AP889" s="85"/>
      <c r="AQ889" s="85"/>
      <c r="AR889" s="85"/>
      <c r="AS889" s="85"/>
      <c r="AT889" s="205"/>
      <c r="AU889" s="85"/>
      <c r="AV889" s="196"/>
      <c r="AW889" s="85"/>
      <c r="AX889" s="85"/>
      <c r="AY889" s="39">
        <v>0.05</v>
      </c>
      <c r="AZ889" s="7">
        <v>199.9</v>
      </c>
      <c r="BA889" s="62">
        <v>2.9</v>
      </c>
      <c r="BB889" s="7" t="s">
        <v>1242</v>
      </c>
      <c r="BC889" s="7" t="s">
        <v>1243</v>
      </c>
      <c r="BD889" s="7"/>
      <c r="BE889" s="7" t="s">
        <v>1955</v>
      </c>
      <c r="BF889" s="39"/>
      <c r="BG889" s="7"/>
      <c r="BH889" s="62"/>
      <c r="BI889" s="7"/>
      <c r="BJ889" s="32">
        <v>1</v>
      </c>
      <c r="BK889" s="54"/>
    </row>
    <row r="890" spans="1:63" ht="23.25" customHeight="1" thickBot="1" x14ac:dyDescent="0.25">
      <c r="A890" s="62">
        <v>889</v>
      </c>
      <c r="B890" s="222"/>
      <c r="C890" s="222"/>
      <c r="D890" s="224"/>
      <c r="E890" s="54"/>
      <c r="F890" s="16">
        <f>(0.99*11.5)/14*100</f>
        <v>81.321428571428569</v>
      </c>
      <c r="G890" s="109">
        <f>1.5/14*100</f>
        <v>10.714285714285714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f>(0.01*11.5)/14*100</f>
        <v>0.8214285714285714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17">
        <v>0</v>
      </c>
      <c r="T890" s="8">
        <f>1/14*100</f>
        <v>7.1428571428571423</v>
      </c>
      <c r="U890" s="8">
        <v>0</v>
      </c>
      <c r="V890" s="8">
        <v>0</v>
      </c>
      <c r="W890" s="8">
        <v>0</v>
      </c>
      <c r="X890" s="8">
        <v>0</v>
      </c>
      <c r="Y890" s="8">
        <v>0</v>
      </c>
      <c r="Z890" s="8">
        <v>0</v>
      </c>
      <c r="AA890" s="8">
        <v>0</v>
      </c>
      <c r="AB890" s="8">
        <v>0</v>
      </c>
      <c r="AC890" s="8">
        <v>0</v>
      </c>
      <c r="AD890" s="14">
        <f t="shared" si="85"/>
        <v>99.999999999999986</v>
      </c>
      <c r="AE890" s="8">
        <v>0</v>
      </c>
      <c r="AF890" s="8">
        <v>0</v>
      </c>
      <c r="AG890" s="8">
        <v>0</v>
      </c>
      <c r="AH890" s="8">
        <v>0</v>
      </c>
      <c r="AI890" s="39" t="s">
        <v>1531</v>
      </c>
      <c r="AJ890" s="7">
        <v>100</v>
      </c>
      <c r="AK890" s="62">
        <v>1373</v>
      </c>
      <c r="AL890" s="158"/>
      <c r="AM890" s="85"/>
      <c r="AN890" s="85"/>
      <c r="AO890" s="85"/>
      <c r="AP890" s="85"/>
      <c r="AQ890" s="85"/>
      <c r="AR890" s="85"/>
      <c r="AS890" s="85"/>
      <c r="AT890" s="205"/>
      <c r="AU890" s="85"/>
      <c r="AV890" s="196"/>
      <c r="AW890" s="85"/>
      <c r="AX890" s="85"/>
      <c r="AY890" s="39">
        <v>0.05</v>
      </c>
      <c r="AZ890" s="7">
        <v>200.2</v>
      </c>
      <c r="BA890" s="62">
        <v>1</v>
      </c>
      <c r="BB890" s="7" t="s">
        <v>1242</v>
      </c>
      <c r="BC890" s="7" t="s">
        <v>1244</v>
      </c>
      <c r="BD890" s="7"/>
      <c r="BE890" s="7" t="s">
        <v>1245</v>
      </c>
      <c r="BF890" s="39"/>
      <c r="BG890" s="7"/>
      <c r="BH890" s="62"/>
      <c r="BI890" s="7"/>
      <c r="BJ890" s="32">
        <v>1</v>
      </c>
      <c r="BK890" s="54"/>
    </row>
    <row r="891" spans="1:63" s="19" customFormat="1" ht="23.25" customHeight="1" thickBot="1" x14ac:dyDescent="0.25">
      <c r="A891" s="7">
        <v>890</v>
      </c>
      <c r="B891" s="108">
        <v>937</v>
      </c>
      <c r="C891" s="108" t="s">
        <v>1603</v>
      </c>
      <c r="D891" s="21" t="s">
        <v>1246</v>
      </c>
      <c r="E891" s="21"/>
      <c r="F891" s="99">
        <f>11.6/14.7*100</f>
        <v>78.911564625850332</v>
      </c>
      <c r="G891" s="100">
        <f>1.4/14.7*100</f>
        <v>9.5238095238095237</v>
      </c>
      <c r="H891" s="100">
        <v>0</v>
      </c>
      <c r="I891" s="100">
        <v>0</v>
      </c>
      <c r="J891" s="100">
        <v>0</v>
      </c>
      <c r="K891" s="100">
        <v>0</v>
      </c>
      <c r="L891" s="100">
        <v>0</v>
      </c>
      <c r="M891" s="100">
        <v>0</v>
      </c>
      <c r="N891" s="100">
        <v>0</v>
      </c>
      <c r="O891" s="100">
        <v>0</v>
      </c>
      <c r="P891" s="100">
        <v>0</v>
      </c>
      <c r="Q891" s="100">
        <v>0</v>
      </c>
      <c r="R891" s="100">
        <v>0</v>
      </c>
      <c r="S891" s="101">
        <v>0</v>
      </c>
      <c r="T891" s="100">
        <f>1.7/14.7*100</f>
        <v>11.564625850340136</v>
      </c>
      <c r="U891" s="100">
        <v>0</v>
      </c>
      <c r="V891" s="100">
        <v>0</v>
      </c>
      <c r="W891" s="100">
        <v>0</v>
      </c>
      <c r="X891" s="100">
        <v>0</v>
      </c>
      <c r="Y891" s="100">
        <v>0</v>
      </c>
      <c r="Z891" s="100">
        <v>0</v>
      </c>
      <c r="AA891" s="100">
        <v>0</v>
      </c>
      <c r="AB891" s="100">
        <v>0</v>
      </c>
      <c r="AC891" s="100">
        <v>0</v>
      </c>
      <c r="AD891" s="102">
        <f t="shared" si="85"/>
        <v>99.999999999999986</v>
      </c>
      <c r="AE891" s="100">
        <v>0</v>
      </c>
      <c r="AF891" s="100">
        <v>0</v>
      </c>
      <c r="AG891" s="100">
        <v>0</v>
      </c>
      <c r="AH891" s="100">
        <v>0</v>
      </c>
      <c r="AI891" s="120" t="s">
        <v>1527</v>
      </c>
      <c r="AJ891" s="98">
        <v>12</v>
      </c>
      <c r="AK891" s="105">
        <v>1323</v>
      </c>
      <c r="AL891" s="206"/>
      <c r="AM891" s="194"/>
      <c r="AN891" s="194"/>
      <c r="AO891" s="194"/>
      <c r="AP891" s="194"/>
      <c r="AQ891" s="194"/>
      <c r="AR891" s="194"/>
      <c r="AS891" s="194"/>
      <c r="AT891" s="207"/>
      <c r="AU891" s="194"/>
      <c r="AV891" s="208"/>
      <c r="AW891" s="194"/>
      <c r="AX891" s="194"/>
      <c r="AY891" s="120">
        <v>0.05</v>
      </c>
      <c r="AZ891" s="98">
        <v>181.6</v>
      </c>
      <c r="BA891" s="105">
        <v>2.9</v>
      </c>
      <c r="BB891" s="98" t="s">
        <v>1195</v>
      </c>
      <c r="BC891" s="98" t="s">
        <v>1247</v>
      </c>
      <c r="BD891" s="98"/>
      <c r="BE891" s="98" t="s">
        <v>1248</v>
      </c>
      <c r="BF891" s="120"/>
      <c r="BG891" s="98"/>
      <c r="BH891" s="105"/>
      <c r="BI891" s="98"/>
      <c r="BJ891" s="70"/>
      <c r="BK891" s="21"/>
    </row>
    <row r="892" spans="1:63" ht="23.25" customHeight="1" thickBot="1" x14ac:dyDescent="0.25">
      <c r="A892" s="62">
        <v>891</v>
      </c>
      <c r="B892" s="110">
        <v>940</v>
      </c>
      <c r="C892" s="110" t="s">
        <v>1604</v>
      </c>
      <c r="D892" s="54" t="s">
        <v>89</v>
      </c>
      <c r="E892" s="54"/>
      <c r="F892" s="16">
        <f>11/14*100</f>
        <v>78.571428571428569</v>
      </c>
      <c r="G892" s="8">
        <f>1.2/14*100</f>
        <v>8.5714285714285712</v>
      </c>
      <c r="H892" s="8">
        <v>0</v>
      </c>
      <c r="I892" s="8">
        <v>0</v>
      </c>
      <c r="J892" s="8">
        <f>0.8/14*100</f>
        <v>5.7142857142857144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17">
        <v>0</v>
      </c>
      <c r="T892" s="8">
        <f>1/14*100</f>
        <v>7.1428571428571423</v>
      </c>
      <c r="U892" s="8">
        <v>0</v>
      </c>
      <c r="V892" s="8">
        <v>0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14">
        <f t="shared" si="85"/>
        <v>99.999999999999986</v>
      </c>
      <c r="AE892" s="8">
        <v>0</v>
      </c>
      <c r="AF892" s="8">
        <v>0</v>
      </c>
      <c r="AG892" s="8">
        <v>0</v>
      </c>
      <c r="AH892" s="8">
        <v>0</v>
      </c>
      <c r="AI892" s="39" t="s">
        <v>1527</v>
      </c>
      <c r="AJ892" s="7">
        <v>24</v>
      </c>
      <c r="AK892" s="62">
        <v>1323</v>
      </c>
      <c r="AL892" s="158"/>
      <c r="AM892" s="85"/>
      <c r="AN892" s="85"/>
      <c r="AO892" s="85"/>
      <c r="AP892" s="85"/>
      <c r="AQ892" s="85"/>
      <c r="AR892" s="85"/>
      <c r="AS892" s="85"/>
      <c r="AT892" s="205"/>
      <c r="AU892" s="85"/>
      <c r="AV892" s="196"/>
      <c r="AW892" s="85"/>
      <c r="AX892" s="85"/>
      <c r="AY892" s="39"/>
      <c r="AZ892" s="7"/>
      <c r="BA892" s="62"/>
      <c r="BB892" s="7">
        <v>2</v>
      </c>
      <c r="BC892" s="7">
        <v>6.6</v>
      </c>
      <c r="BD892" s="7">
        <v>282.5</v>
      </c>
      <c r="BE892" s="7">
        <v>24</v>
      </c>
      <c r="BF892" s="39"/>
      <c r="BG892" s="7"/>
      <c r="BH892" s="62"/>
      <c r="BI892" s="7"/>
      <c r="BJ892" s="32"/>
      <c r="BK892" s="54"/>
    </row>
    <row r="893" spans="1:63" s="4" customFormat="1" ht="23.25" customHeight="1" x14ac:dyDescent="0.2">
      <c r="A893" s="7">
        <v>892</v>
      </c>
      <c r="B893" s="218">
        <v>983</v>
      </c>
      <c r="C893" s="218" t="s">
        <v>1605</v>
      </c>
      <c r="D893" s="225" t="s">
        <v>1249</v>
      </c>
      <c r="E893" s="12"/>
      <c r="F893" s="87">
        <f>0.95*11.8*100/14</f>
        <v>80.071428571428569</v>
      </c>
      <c r="G893" s="88">
        <f>1.2*100/14</f>
        <v>8.5714285714285712</v>
      </c>
      <c r="H893" s="88">
        <v>0</v>
      </c>
      <c r="I893" s="88">
        <v>0</v>
      </c>
      <c r="J893" s="88">
        <f>0.05*100*11.8/14</f>
        <v>4.2142857142857144</v>
      </c>
      <c r="K893" s="88">
        <v>0</v>
      </c>
      <c r="L893" s="88">
        <v>0</v>
      </c>
      <c r="M893" s="88">
        <v>0</v>
      </c>
      <c r="N893" s="88">
        <v>0</v>
      </c>
      <c r="O893" s="88">
        <v>0</v>
      </c>
      <c r="P893" s="88">
        <v>0</v>
      </c>
      <c r="Q893" s="88">
        <v>0</v>
      </c>
      <c r="R893" s="88">
        <v>0</v>
      </c>
      <c r="S893" s="89">
        <v>0</v>
      </c>
      <c r="T893" s="88">
        <f>0.8*100/14</f>
        <v>5.7142857142857144</v>
      </c>
      <c r="U893" s="88">
        <v>0</v>
      </c>
      <c r="V893" s="88">
        <f>0.2*100/14</f>
        <v>1.4285714285714286</v>
      </c>
      <c r="W893" s="88">
        <v>0</v>
      </c>
      <c r="X893" s="88">
        <v>0</v>
      </c>
      <c r="Y893" s="88">
        <v>0</v>
      </c>
      <c r="Z893" s="88">
        <v>0</v>
      </c>
      <c r="AA893" s="88">
        <v>0</v>
      </c>
      <c r="AB893" s="88">
        <v>0</v>
      </c>
      <c r="AC893" s="88">
        <v>0</v>
      </c>
      <c r="AD893" s="90">
        <f t="shared" si="85"/>
        <v>99.999999999999986</v>
      </c>
      <c r="AE893" s="88">
        <v>0</v>
      </c>
      <c r="AF893" s="88">
        <v>0</v>
      </c>
      <c r="AG893" s="88">
        <v>0</v>
      </c>
      <c r="AH893" s="88">
        <v>0</v>
      </c>
      <c r="AI893" s="156" t="s">
        <v>1527</v>
      </c>
      <c r="AJ893" s="45">
        <v>2</v>
      </c>
      <c r="AK893" s="91">
        <v>1323</v>
      </c>
      <c r="AL893" s="197">
        <v>81.7</v>
      </c>
      <c r="AM893" s="189">
        <v>15</v>
      </c>
      <c r="AN893" s="189">
        <v>3.3</v>
      </c>
      <c r="AO893" s="189"/>
      <c r="AP893" s="189"/>
      <c r="AQ893" s="189"/>
      <c r="AR893" s="189"/>
      <c r="AS893" s="189"/>
      <c r="AT893" s="198"/>
      <c r="AU893" s="189">
        <v>0</v>
      </c>
      <c r="AV893" s="199">
        <f t="shared" ref="AV893:AV897" si="86">SUM(AL893:AT893)</f>
        <v>100</v>
      </c>
      <c r="AW893" s="189">
        <v>11.461399999999999</v>
      </c>
      <c r="AX893" s="189"/>
      <c r="AY893" s="156">
        <v>0.05</v>
      </c>
      <c r="AZ893" s="45">
        <v>250.4</v>
      </c>
      <c r="BA893" s="91"/>
      <c r="BB893" s="45" t="s">
        <v>523</v>
      </c>
      <c r="BC893" s="45" t="s">
        <v>1250</v>
      </c>
      <c r="BD893" s="45" t="s">
        <v>1255</v>
      </c>
      <c r="BE893" s="45" t="s">
        <v>1259</v>
      </c>
      <c r="BF893" s="156"/>
      <c r="BG893" s="45"/>
      <c r="BH893" s="91"/>
      <c r="BI893" s="45"/>
      <c r="BJ893" s="67">
        <v>1</v>
      </c>
      <c r="BK893" s="12"/>
    </row>
    <row r="894" spans="1:63" ht="23.25" customHeight="1" x14ac:dyDescent="0.2">
      <c r="A894" s="62">
        <v>893</v>
      </c>
      <c r="B894" s="219"/>
      <c r="C894" s="219"/>
      <c r="D894" s="223"/>
      <c r="E894" s="54"/>
      <c r="F894" s="16">
        <f t="shared" ref="F894:F897" si="87">0.95*11.8*100/14</f>
        <v>80.071428571428569</v>
      </c>
      <c r="G894" s="8">
        <f t="shared" ref="G894:G897" si="88">1.2*100/14</f>
        <v>8.5714285714285712</v>
      </c>
      <c r="H894" s="8">
        <v>0</v>
      </c>
      <c r="I894" s="8">
        <v>0</v>
      </c>
      <c r="J894" s="8">
        <f t="shared" ref="J894:J897" si="89">0.05*100*11.8/14</f>
        <v>4.2142857142857144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17">
        <v>0</v>
      </c>
      <c r="T894" s="8">
        <f t="shared" ref="T894:T897" si="90">0.8*100/14</f>
        <v>5.7142857142857144</v>
      </c>
      <c r="U894" s="8">
        <v>0</v>
      </c>
      <c r="V894" s="8">
        <f t="shared" ref="V894:V897" si="91">0.2*100/14</f>
        <v>1.4285714285714286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14">
        <f t="shared" si="85"/>
        <v>99.999999999999986</v>
      </c>
      <c r="AE894" s="8">
        <v>0</v>
      </c>
      <c r="AF894" s="8">
        <v>0</v>
      </c>
      <c r="AG894" s="8">
        <v>0</v>
      </c>
      <c r="AH894" s="8">
        <v>0</v>
      </c>
      <c r="AI894" s="39" t="s">
        <v>1527</v>
      </c>
      <c r="AJ894" s="7">
        <v>6</v>
      </c>
      <c r="AK894" s="62">
        <v>1323</v>
      </c>
      <c r="AL894" s="158">
        <v>89.3</v>
      </c>
      <c r="AM894" s="85">
        <v>7.5</v>
      </c>
      <c r="AN894" s="85">
        <v>3.2</v>
      </c>
      <c r="AO894" s="85"/>
      <c r="AP894" s="85"/>
      <c r="AQ894" s="85"/>
      <c r="AR894" s="85"/>
      <c r="AS894" s="85"/>
      <c r="AT894" s="205"/>
      <c r="AU894" s="85">
        <v>0</v>
      </c>
      <c r="AV894" s="196">
        <f t="shared" si="86"/>
        <v>100</v>
      </c>
      <c r="AW894" s="85">
        <v>11.4635</v>
      </c>
      <c r="AX894" s="85"/>
      <c r="AY894" s="39">
        <v>0.05</v>
      </c>
      <c r="AZ894" s="7">
        <v>249.7</v>
      </c>
      <c r="BA894" s="62"/>
      <c r="BB894" s="7" t="s">
        <v>523</v>
      </c>
      <c r="BC894" s="7" t="s">
        <v>1251</v>
      </c>
      <c r="BD894" s="7" t="s">
        <v>1256</v>
      </c>
      <c r="BE894" s="7" t="s">
        <v>1260</v>
      </c>
      <c r="BF894" s="39"/>
      <c r="BG894" s="7"/>
      <c r="BH894" s="62"/>
      <c r="BI894" s="7"/>
      <c r="BJ894" s="32">
        <v>1</v>
      </c>
      <c r="BK894" s="54"/>
    </row>
    <row r="895" spans="1:63" ht="23.25" customHeight="1" x14ac:dyDescent="0.2">
      <c r="A895" s="7">
        <v>894</v>
      </c>
      <c r="B895" s="219"/>
      <c r="C895" s="219"/>
      <c r="D895" s="223"/>
      <c r="E895" s="54"/>
      <c r="F895" s="16">
        <f t="shared" si="87"/>
        <v>80.071428571428569</v>
      </c>
      <c r="G895" s="8">
        <f t="shared" si="88"/>
        <v>8.5714285714285712</v>
      </c>
      <c r="H895" s="8">
        <v>0</v>
      </c>
      <c r="I895" s="8">
        <v>0</v>
      </c>
      <c r="J895" s="8">
        <f t="shared" si="89"/>
        <v>4.2142857142857144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17">
        <v>0</v>
      </c>
      <c r="T895" s="8">
        <f t="shared" si="90"/>
        <v>5.7142857142857144</v>
      </c>
      <c r="U895" s="8">
        <v>0</v>
      </c>
      <c r="V895" s="8">
        <f t="shared" si="91"/>
        <v>1.4285714285714286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14">
        <f t="shared" si="85"/>
        <v>99.999999999999986</v>
      </c>
      <c r="AE895" s="8">
        <v>0</v>
      </c>
      <c r="AF895" s="8">
        <v>0</v>
      </c>
      <c r="AG895" s="8">
        <v>0</v>
      </c>
      <c r="AH895" s="8">
        <v>0</v>
      </c>
      <c r="AI895" s="39" t="s">
        <v>1527</v>
      </c>
      <c r="AJ895" s="7">
        <v>12</v>
      </c>
      <c r="AK895" s="62">
        <v>1323</v>
      </c>
      <c r="AL895" s="158">
        <v>93.5</v>
      </c>
      <c r="AM895" s="85">
        <v>4</v>
      </c>
      <c r="AN895" s="85">
        <v>2.5</v>
      </c>
      <c r="AO895" s="85"/>
      <c r="AP895" s="85"/>
      <c r="AQ895" s="85"/>
      <c r="AR895" s="85"/>
      <c r="AS895" s="85"/>
      <c r="AT895" s="205"/>
      <c r="AU895" s="85">
        <v>0</v>
      </c>
      <c r="AV895" s="196">
        <f t="shared" si="86"/>
        <v>100</v>
      </c>
      <c r="AW895" s="85">
        <v>11.4642</v>
      </c>
      <c r="AX895" s="85"/>
      <c r="AY895" s="39">
        <v>0.05</v>
      </c>
      <c r="AZ895" s="7">
        <v>247.5</v>
      </c>
      <c r="BA895" s="62"/>
      <c r="BB895" s="7" t="s">
        <v>523</v>
      </c>
      <c r="BC895" s="7" t="s">
        <v>1252</v>
      </c>
      <c r="BD895" s="7" t="s">
        <v>1257</v>
      </c>
      <c r="BE895" s="7" t="s">
        <v>1261</v>
      </c>
      <c r="BF895" s="39"/>
      <c r="BG895" s="7"/>
      <c r="BH895" s="62"/>
      <c r="BI895" s="7"/>
      <c r="BJ895" s="32">
        <v>1</v>
      </c>
      <c r="BK895" s="54"/>
    </row>
    <row r="896" spans="1:63" ht="23.25" customHeight="1" x14ac:dyDescent="0.2">
      <c r="A896" s="62">
        <v>895</v>
      </c>
      <c r="B896" s="219"/>
      <c r="C896" s="219"/>
      <c r="D896" s="223"/>
      <c r="E896" s="54"/>
      <c r="F896" s="16">
        <f t="shared" si="87"/>
        <v>80.071428571428569</v>
      </c>
      <c r="G896" s="8">
        <f t="shared" si="88"/>
        <v>8.5714285714285712</v>
      </c>
      <c r="H896" s="8">
        <v>0</v>
      </c>
      <c r="I896" s="8">
        <v>0</v>
      </c>
      <c r="J896" s="8">
        <f t="shared" si="89"/>
        <v>4.2142857142857144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17">
        <v>0</v>
      </c>
      <c r="T896" s="8">
        <f t="shared" si="90"/>
        <v>5.7142857142857144</v>
      </c>
      <c r="U896" s="8">
        <v>0</v>
      </c>
      <c r="V896" s="8">
        <f t="shared" si="91"/>
        <v>1.4285714285714286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  <c r="AD896" s="14">
        <f t="shared" si="85"/>
        <v>99.999999999999986</v>
      </c>
      <c r="AE896" s="8">
        <v>0</v>
      </c>
      <c r="AF896" s="8">
        <v>0</v>
      </c>
      <c r="AG896" s="8">
        <v>0</v>
      </c>
      <c r="AH896" s="8">
        <v>0</v>
      </c>
      <c r="AI896" s="39" t="s">
        <v>1527</v>
      </c>
      <c r="AJ896" s="7">
        <v>18</v>
      </c>
      <c r="AK896" s="62">
        <v>1323</v>
      </c>
      <c r="AL896" s="158">
        <v>88.3</v>
      </c>
      <c r="AM896" s="85">
        <v>11.3</v>
      </c>
      <c r="AN896" s="85">
        <v>0.4</v>
      </c>
      <c r="AO896" s="85"/>
      <c r="AP896" s="85"/>
      <c r="AQ896" s="85"/>
      <c r="AR896" s="85"/>
      <c r="AS896" s="85"/>
      <c r="AT896" s="205"/>
      <c r="AU896" s="85">
        <v>0</v>
      </c>
      <c r="AV896" s="196">
        <f>SUM(AL896:AT896)</f>
        <v>100</v>
      </c>
      <c r="AW896" s="85">
        <v>11.4633</v>
      </c>
      <c r="AX896" s="85"/>
      <c r="AY896" s="39">
        <v>0.05</v>
      </c>
      <c r="AZ896" s="7">
        <v>247.6</v>
      </c>
      <c r="BA896" s="62"/>
      <c r="BB896" s="7" t="s">
        <v>523</v>
      </c>
      <c r="BC896" s="7" t="s">
        <v>1253</v>
      </c>
      <c r="BD896" s="7" t="s">
        <v>1258</v>
      </c>
      <c r="BE896" s="7" t="s">
        <v>1262</v>
      </c>
      <c r="BF896" s="39"/>
      <c r="BG896" s="7"/>
      <c r="BH896" s="62"/>
      <c r="BI896" s="7"/>
      <c r="BJ896" s="32">
        <v>1</v>
      </c>
      <c r="BK896" s="54"/>
    </row>
    <row r="897" spans="1:63" s="6" customFormat="1" ht="23.25" customHeight="1" thickBot="1" x14ac:dyDescent="0.25">
      <c r="A897" s="7">
        <v>896</v>
      </c>
      <c r="B897" s="220"/>
      <c r="C897" s="220"/>
      <c r="D897" s="224"/>
      <c r="E897" s="13"/>
      <c r="F897" s="80">
        <f t="shared" si="87"/>
        <v>80.071428571428569</v>
      </c>
      <c r="G897" s="81">
        <f t="shared" si="88"/>
        <v>8.5714285714285712</v>
      </c>
      <c r="H897" s="81">
        <v>0</v>
      </c>
      <c r="I897" s="81">
        <v>0</v>
      </c>
      <c r="J897" s="81">
        <f t="shared" si="89"/>
        <v>4.2142857142857144</v>
      </c>
      <c r="K897" s="81">
        <v>0</v>
      </c>
      <c r="L897" s="81">
        <v>0</v>
      </c>
      <c r="M897" s="81">
        <v>0</v>
      </c>
      <c r="N897" s="81">
        <v>0</v>
      </c>
      <c r="O897" s="81">
        <v>0</v>
      </c>
      <c r="P897" s="81">
        <v>0</v>
      </c>
      <c r="Q897" s="81">
        <v>0</v>
      </c>
      <c r="R897" s="81">
        <v>0</v>
      </c>
      <c r="S897" s="82">
        <v>0</v>
      </c>
      <c r="T897" s="81">
        <f t="shared" si="90"/>
        <v>5.7142857142857144</v>
      </c>
      <c r="U897" s="81">
        <v>0</v>
      </c>
      <c r="V897" s="81">
        <f t="shared" si="91"/>
        <v>1.4285714285714286</v>
      </c>
      <c r="W897" s="81">
        <v>0</v>
      </c>
      <c r="X897" s="81">
        <v>0</v>
      </c>
      <c r="Y897" s="81">
        <v>0</v>
      </c>
      <c r="Z897" s="81">
        <v>0</v>
      </c>
      <c r="AA897" s="81">
        <v>0</v>
      </c>
      <c r="AB897" s="81">
        <v>0</v>
      </c>
      <c r="AC897" s="81">
        <v>0</v>
      </c>
      <c r="AD897" s="83">
        <f t="shared" si="85"/>
        <v>99.999999999999986</v>
      </c>
      <c r="AE897" s="81">
        <v>0</v>
      </c>
      <c r="AF897" s="81">
        <v>0</v>
      </c>
      <c r="AG897" s="81">
        <v>0</v>
      </c>
      <c r="AH897" s="81">
        <v>0</v>
      </c>
      <c r="AI897" s="79" t="s">
        <v>1527</v>
      </c>
      <c r="AJ897" s="65">
        <v>24</v>
      </c>
      <c r="AK897" s="78">
        <v>1323</v>
      </c>
      <c r="AL897" s="200">
        <v>89.2</v>
      </c>
      <c r="AM897" s="190">
        <v>10.5</v>
      </c>
      <c r="AN897" s="190">
        <v>0.3</v>
      </c>
      <c r="AO897" s="190"/>
      <c r="AP897" s="190"/>
      <c r="AQ897" s="190"/>
      <c r="AR897" s="190"/>
      <c r="AS897" s="190"/>
      <c r="AT897" s="201"/>
      <c r="AU897" s="190">
        <v>0</v>
      </c>
      <c r="AV897" s="202">
        <f t="shared" si="86"/>
        <v>100</v>
      </c>
      <c r="AW897" s="190">
        <v>11.4628</v>
      </c>
      <c r="AX897" s="190"/>
      <c r="AY897" s="79">
        <v>0.05</v>
      </c>
      <c r="AZ897" s="65">
        <v>247.9</v>
      </c>
      <c r="BA897" s="78"/>
      <c r="BB897" s="65" t="s">
        <v>523</v>
      </c>
      <c r="BC897" s="65" t="s">
        <v>1254</v>
      </c>
      <c r="BD897" s="65" t="s">
        <v>1258</v>
      </c>
      <c r="BE897" s="65" t="s">
        <v>1263</v>
      </c>
      <c r="BF897" s="79"/>
      <c r="BG897" s="65"/>
      <c r="BH897" s="78"/>
      <c r="BI897" s="65"/>
      <c r="BJ897" s="68">
        <v>1</v>
      </c>
      <c r="BK897" s="13"/>
    </row>
    <row r="898" spans="1:63" ht="23.25" customHeight="1" x14ac:dyDescent="0.2">
      <c r="A898" s="62">
        <v>897</v>
      </c>
      <c r="B898" s="218">
        <v>985</v>
      </c>
      <c r="C898" s="218" t="s">
        <v>1606</v>
      </c>
      <c r="D898" s="225" t="s">
        <v>1264</v>
      </c>
      <c r="E898" s="54" t="s">
        <v>1708</v>
      </c>
      <c r="F898" s="16">
        <f>11.5*100/14</f>
        <v>82.142857142857139</v>
      </c>
      <c r="G898" s="8">
        <f>1.5*100/14</f>
        <v>10.714285714285714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17">
        <v>0</v>
      </c>
      <c r="T898" s="8">
        <f>1*100/14</f>
        <v>7.1428571428571432</v>
      </c>
      <c r="U898" s="8">
        <v>0</v>
      </c>
      <c r="V898" s="8">
        <v>0</v>
      </c>
      <c r="W898" s="8">
        <v>0</v>
      </c>
      <c r="X898" s="8">
        <v>0</v>
      </c>
      <c r="Y898" s="8">
        <v>0</v>
      </c>
      <c r="Z898" s="8">
        <v>0</v>
      </c>
      <c r="AA898" s="8">
        <v>0</v>
      </c>
      <c r="AB898" s="8">
        <v>0</v>
      </c>
      <c r="AC898" s="8">
        <v>0</v>
      </c>
      <c r="AD898" s="14">
        <f t="shared" si="85"/>
        <v>99.999999999999986</v>
      </c>
      <c r="AE898" s="8">
        <v>0</v>
      </c>
      <c r="AF898" s="8">
        <v>0</v>
      </c>
      <c r="AG898" s="8">
        <v>0</v>
      </c>
      <c r="AH898" s="8">
        <v>0</v>
      </c>
      <c r="AI898" s="39" t="s">
        <v>1531</v>
      </c>
      <c r="AJ898" s="7">
        <v>100</v>
      </c>
      <c r="AK898" s="62">
        <v>1423</v>
      </c>
      <c r="AL898" s="158"/>
      <c r="AM898" s="85"/>
      <c r="AN898" s="85"/>
      <c r="AO898" s="85"/>
      <c r="AP898" s="85"/>
      <c r="AQ898" s="85"/>
      <c r="AR898" s="85"/>
      <c r="AS898" s="85"/>
      <c r="AT898" s="205"/>
      <c r="AU898" s="85"/>
      <c r="AV898" s="196"/>
      <c r="AW898" s="85">
        <v>11.471299999999999</v>
      </c>
      <c r="AX898" s="85"/>
      <c r="AY898" s="39">
        <v>0.05</v>
      </c>
      <c r="AZ898" s="7">
        <v>198.1</v>
      </c>
      <c r="BA898" s="62">
        <v>3.5</v>
      </c>
      <c r="BB898" s="7">
        <v>3</v>
      </c>
      <c r="BC898" s="7">
        <v>17.2</v>
      </c>
      <c r="BD898" s="7">
        <v>201.3</v>
      </c>
      <c r="BE898" s="7">
        <v>13.8</v>
      </c>
      <c r="BF898" s="39"/>
      <c r="BG898" s="7"/>
      <c r="BH898" s="62"/>
      <c r="BI898" s="7"/>
      <c r="BJ898" s="32">
        <v>1</v>
      </c>
      <c r="BK898" s="54"/>
    </row>
    <row r="899" spans="1:63" ht="23.25" customHeight="1" x14ac:dyDescent="0.2">
      <c r="A899" s="7">
        <v>898</v>
      </c>
      <c r="B899" s="221"/>
      <c r="C899" s="221"/>
      <c r="D899" s="223"/>
      <c r="E899" s="54" t="s">
        <v>1662</v>
      </c>
      <c r="F899" s="16">
        <f>11.5*100/14</f>
        <v>82.142857142857139</v>
      </c>
      <c r="G899" s="8">
        <f t="shared" ref="G899:G901" si="92">1.5*100/14</f>
        <v>10.714285714285714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17">
        <v>0</v>
      </c>
      <c r="T899" s="8">
        <f>(0.9+(0.35*0.1))*100/14</f>
        <v>6.6785714285714288</v>
      </c>
      <c r="U899" s="8">
        <v>0</v>
      </c>
      <c r="V899" s="8">
        <f>((0.65*0.1))*100/14</f>
        <v>0.4642857142857143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14">
        <f t="shared" si="85"/>
        <v>99.999999999999986</v>
      </c>
      <c r="AE899" s="8">
        <v>0</v>
      </c>
      <c r="AF899" s="8">
        <v>0</v>
      </c>
      <c r="AG899" s="8">
        <v>0</v>
      </c>
      <c r="AH899" s="8">
        <v>0</v>
      </c>
      <c r="AI899" s="39" t="s">
        <v>1531</v>
      </c>
      <c r="AJ899" s="7">
        <v>100</v>
      </c>
      <c r="AK899" s="62">
        <v>1423</v>
      </c>
      <c r="AL899" s="158"/>
      <c r="AM899" s="85"/>
      <c r="AN899" s="85"/>
      <c r="AO899" s="85"/>
      <c r="AP899" s="85"/>
      <c r="AQ899" s="85"/>
      <c r="AR899" s="85"/>
      <c r="AS899" s="85"/>
      <c r="AT899" s="205"/>
      <c r="AU899" s="85"/>
      <c r="AV899" s="196"/>
      <c r="AW899" s="85">
        <v>11.468999999999999</v>
      </c>
      <c r="AX899" s="85"/>
      <c r="AY899" s="39">
        <v>0.05</v>
      </c>
      <c r="AZ899" s="7">
        <v>193.2</v>
      </c>
      <c r="BA899" s="62">
        <v>5.2</v>
      </c>
      <c r="BB899" s="7">
        <v>3</v>
      </c>
      <c r="BC899" s="7">
        <v>19.2</v>
      </c>
      <c r="BD899" s="7">
        <v>195.4</v>
      </c>
      <c r="BE899" s="7">
        <v>12.64</v>
      </c>
      <c r="BF899" s="39"/>
      <c r="BG899" s="7"/>
      <c r="BH899" s="62"/>
      <c r="BI899" s="7"/>
      <c r="BJ899" s="32">
        <v>1</v>
      </c>
      <c r="BK899" s="54"/>
    </row>
    <row r="900" spans="1:63" ht="23.25" customHeight="1" x14ac:dyDescent="0.2">
      <c r="A900" s="62">
        <v>899</v>
      </c>
      <c r="B900" s="221"/>
      <c r="C900" s="221"/>
      <c r="D900" s="223"/>
      <c r="E900" s="54" t="s">
        <v>1663</v>
      </c>
      <c r="F900" s="16">
        <f>11.5*100/14</f>
        <v>82.142857142857139</v>
      </c>
      <c r="G900" s="8">
        <f t="shared" si="92"/>
        <v>10.714285714285714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17">
        <v>0</v>
      </c>
      <c r="T900" s="8">
        <f>(0.8+(0.35*0.2))*100/14</f>
        <v>6.2142857142857144</v>
      </c>
      <c r="U900" s="8">
        <v>0</v>
      </c>
      <c r="V900" s="8">
        <f>((0.65*0.2))*100/14</f>
        <v>0.9285714285714286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14">
        <f t="shared" si="85"/>
        <v>99.999999999999986</v>
      </c>
      <c r="AE900" s="8">
        <v>0</v>
      </c>
      <c r="AF900" s="8">
        <v>0</v>
      </c>
      <c r="AG900" s="8">
        <v>0</v>
      </c>
      <c r="AH900" s="8">
        <v>0</v>
      </c>
      <c r="AI900" s="39" t="s">
        <v>1531</v>
      </c>
      <c r="AJ900" s="7">
        <v>100</v>
      </c>
      <c r="AK900" s="62">
        <v>1423</v>
      </c>
      <c r="AL900" s="158"/>
      <c r="AM900" s="85"/>
      <c r="AN900" s="85"/>
      <c r="AO900" s="85"/>
      <c r="AP900" s="85"/>
      <c r="AQ900" s="85"/>
      <c r="AR900" s="85"/>
      <c r="AS900" s="85"/>
      <c r="AT900" s="205"/>
      <c r="AU900" s="85"/>
      <c r="AV900" s="196"/>
      <c r="AW900" s="85">
        <v>11.4633</v>
      </c>
      <c r="AX900" s="85"/>
      <c r="AY900" s="39">
        <v>0.05</v>
      </c>
      <c r="AZ900" s="7">
        <v>188.8</v>
      </c>
      <c r="BA900" s="62">
        <v>6.3</v>
      </c>
      <c r="BB900" s="7">
        <v>3</v>
      </c>
      <c r="BC900" s="7">
        <v>23.5</v>
      </c>
      <c r="BD900" s="7">
        <v>190.7</v>
      </c>
      <c r="BE900" s="7">
        <v>11.8</v>
      </c>
      <c r="BF900" s="39"/>
      <c r="BG900" s="7"/>
      <c r="BH900" s="62"/>
      <c r="BI900" s="7"/>
      <c r="BJ900" s="32">
        <v>1</v>
      </c>
      <c r="BK900" s="54"/>
    </row>
    <row r="901" spans="1:63" ht="23.25" customHeight="1" thickBot="1" x14ac:dyDescent="0.25">
      <c r="A901" s="7">
        <v>900</v>
      </c>
      <c r="B901" s="222"/>
      <c r="C901" s="222"/>
      <c r="D901" s="224"/>
      <c r="E901" s="54" t="s">
        <v>1664</v>
      </c>
      <c r="F901" s="16">
        <f>11.5*100/14</f>
        <v>82.142857142857139</v>
      </c>
      <c r="G901" s="8">
        <f t="shared" si="92"/>
        <v>10.714285714285714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17">
        <v>0</v>
      </c>
      <c r="T901" s="8">
        <f>(0.7+(0.35*0.3))*100/14</f>
        <v>5.75</v>
      </c>
      <c r="U901" s="8">
        <v>0</v>
      </c>
      <c r="V901" s="8">
        <f>((0.65*0.3))*100/14</f>
        <v>1.3928571428571428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14">
        <f t="shared" si="85"/>
        <v>99.999999999999986</v>
      </c>
      <c r="AE901" s="8">
        <v>0</v>
      </c>
      <c r="AF901" s="8">
        <v>0</v>
      </c>
      <c r="AG901" s="8">
        <v>0</v>
      </c>
      <c r="AH901" s="8">
        <v>0</v>
      </c>
      <c r="AI901" s="39" t="s">
        <v>1531</v>
      </c>
      <c r="AJ901" s="7">
        <v>100</v>
      </c>
      <c r="AK901" s="62">
        <v>1423</v>
      </c>
      <c r="AL901" s="158"/>
      <c r="AM901" s="85"/>
      <c r="AN901" s="85"/>
      <c r="AO901" s="85"/>
      <c r="AP901" s="85"/>
      <c r="AQ901" s="85"/>
      <c r="AR901" s="85"/>
      <c r="AS901" s="85"/>
      <c r="AT901" s="205"/>
      <c r="AU901" s="85"/>
      <c r="AV901" s="196"/>
      <c r="AW901" s="85">
        <v>11.459300000000001</v>
      </c>
      <c r="AX901" s="85"/>
      <c r="AY901" s="39">
        <v>0.05</v>
      </c>
      <c r="AZ901" s="7">
        <v>184.3</v>
      </c>
      <c r="BA901" s="62">
        <v>8.1999999999999993</v>
      </c>
      <c r="BB901" s="7">
        <v>3</v>
      </c>
      <c r="BC901" s="7">
        <v>26.6</v>
      </c>
      <c r="BD901" s="7">
        <v>186.7</v>
      </c>
      <c r="BE901" s="7">
        <v>12.4</v>
      </c>
      <c r="BF901" s="39"/>
      <c r="BG901" s="7"/>
      <c r="BH901" s="62"/>
      <c r="BI901" s="7"/>
      <c r="BJ901" s="32">
        <v>1</v>
      </c>
      <c r="BK901" s="54"/>
    </row>
    <row r="902" spans="1:63" s="19" customFormat="1" ht="23.25" customHeight="1" thickBot="1" x14ac:dyDescent="0.25">
      <c r="A902" s="62">
        <v>901</v>
      </c>
      <c r="B902" s="108">
        <v>987</v>
      </c>
      <c r="C902" s="108" t="s">
        <v>1607</v>
      </c>
      <c r="D902" s="21" t="s">
        <v>1265</v>
      </c>
      <c r="E902" s="21"/>
      <c r="F902" s="99">
        <f>11.5*100/14</f>
        <v>82.142857142857139</v>
      </c>
      <c r="G902" s="100">
        <f>1.5*100/14</f>
        <v>10.714285714285714</v>
      </c>
      <c r="H902" s="100">
        <v>0</v>
      </c>
      <c r="I902" s="100">
        <v>0</v>
      </c>
      <c r="J902" s="100">
        <v>0</v>
      </c>
      <c r="K902" s="100">
        <v>0</v>
      </c>
      <c r="L902" s="100">
        <v>0</v>
      </c>
      <c r="M902" s="100">
        <v>0</v>
      </c>
      <c r="N902" s="100">
        <v>0</v>
      </c>
      <c r="O902" s="100">
        <v>0</v>
      </c>
      <c r="P902" s="100">
        <v>0</v>
      </c>
      <c r="Q902" s="100">
        <v>0</v>
      </c>
      <c r="R902" s="100">
        <v>0</v>
      </c>
      <c r="S902" s="101">
        <v>0</v>
      </c>
      <c r="T902" s="100">
        <f>1*100/14</f>
        <v>7.1428571428571432</v>
      </c>
      <c r="U902" s="100">
        <v>0</v>
      </c>
      <c r="V902" s="100">
        <v>0</v>
      </c>
      <c r="W902" s="100">
        <v>0</v>
      </c>
      <c r="X902" s="100">
        <v>0</v>
      </c>
      <c r="Y902" s="100">
        <v>0</v>
      </c>
      <c r="Z902" s="100">
        <v>0</v>
      </c>
      <c r="AA902" s="100">
        <v>0</v>
      </c>
      <c r="AB902" s="100">
        <v>0</v>
      </c>
      <c r="AC902" s="100">
        <v>0</v>
      </c>
      <c r="AD902" s="102">
        <f t="shared" si="85"/>
        <v>99.999999999999986</v>
      </c>
      <c r="AE902" s="100">
        <v>0</v>
      </c>
      <c r="AF902" s="100">
        <f>0.13/14*100</f>
        <v>0.9285714285714286</v>
      </c>
      <c r="AG902" s="100">
        <v>0</v>
      </c>
      <c r="AH902" s="100">
        <v>0</v>
      </c>
      <c r="AI902" s="120" t="s">
        <v>1531</v>
      </c>
      <c r="AJ902" s="98">
        <v>48</v>
      </c>
      <c r="AK902" s="105">
        <v>1353</v>
      </c>
      <c r="AL902" s="206"/>
      <c r="AM902" s="194"/>
      <c r="AN902" s="194"/>
      <c r="AO902" s="194"/>
      <c r="AP902" s="194"/>
      <c r="AQ902" s="194"/>
      <c r="AR902" s="194"/>
      <c r="AS902" s="194"/>
      <c r="AT902" s="207"/>
      <c r="AU902" s="194"/>
      <c r="AV902" s="208"/>
      <c r="AW902" s="194"/>
      <c r="AX902" s="194"/>
      <c r="AY902" s="120">
        <v>0.01</v>
      </c>
      <c r="AZ902" s="98">
        <v>214.3</v>
      </c>
      <c r="BA902" s="105">
        <v>2.8</v>
      </c>
      <c r="BB902" s="98">
        <v>2</v>
      </c>
      <c r="BC902" s="98">
        <v>15.97</v>
      </c>
      <c r="BD902" s="98">
        <v>213</v>
      </c>
      <c r="BE902" s="98">
        <v>10.1</v>
      </c>
      <c r="BF902" s="120"/>
      <c r="BG902" s="98"/>
      <c r="BH902" s="105"/>
      <c r="BI902" s="98"/>
      <c r="BJ902" s="70">
        <v>1</v>
      </c>
      <c r="BK902" s="21"/>
    </row>
    <row r="903" spans="1:63" ht="23.25" customHeight="1" thickBot="1" x14ac:dyDescent="0.25">
      <c r="A903" s="7">
        <v>902</v>
      </c>
      <c r="B903" s="110">
        <v>989</v>
      </c>
      <c r="C903" s="110" t="s">
        <v>1608</v>
      </c>
      <c r="D903" s="54" t="s">
        <v>198</v>
      </c>
      <c r="E903" s="54"/>
      <c r="F903" s="16">
        <f>11.74*100/14</f>
        <v>83.857142857142861</v>
      </c>
      <c r="G903" s="8">
        <f>1.2*100/14</f>
        <v>8.5714285714285712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f>0.06*100/14</f>
        <v>0.42857142857142855</v>
      </c>
      <c r="Q903" s="8">
        <v>0</v>
      </c>
      <c r="R903" s="8">
        <v>0</v>
      </c>
      <c r="S903" s="17">
        <v>0</v>
      </c>
      <c r="T903" s="8">
        <f>1*100/14</f>
        <v>7.1428571428571432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14">
        <f t="shared" si="85"/>
        <v>100</v>
      </c>
      <c r="AE903" s="8">
        <v>0</v>
      </c>
      <c r="AF903" s="8">
        <v>0</v>
      </c>
      <c r="AG903" s="8">
        <v>0</v>
      </c>
      <c r="AH903" s="8">
        <v>0</v>
      </c>
      <c r="AI903" s="39" t="s">
        <v>1531</v>
      </c>
      <c r="AJ903" s="7"/>
      <c r="AK903" s="62">
        <v>1323</v>
      </c>
      <c r="AL903" s="158"/>
      <c r="AM903" s="85"/>
      <c r="AN903" s="85"/>
      <c r="AO903" s="85"/>
      <c r="AP903" s="85"/>
      <c r="AQ903" s="85"/>
      <c r="AR903" s="85"/>
      <c r="AS903" s="85"/>
      <c r="AT903" s="205"/>
      <c r="AU903" s="85"/>
      <c r="AV903" s="196"/>
      <c r="AW903" s="85"/>
      <c r="AX903" s="85"/>
      <c r="AY903" s="39">
        <v>1</v>
      </c>
      <c r="AZ903" s="7">
        <v>180.2</v>
      </c>
      <c r="BA903" s="62">
        <v>5.4</v>
      </c>
      <c r="BB903" s="7"/>
      <c r="BC903" s="7"/>
      <c r="BD903" s="7"/>
      <c r="BE903" s="7"/>
      <c r="BF903" s="39"/>
      <c r="BG903" s="7"/>
      <c r="BH903" s="62"/>
      <c r="BI903" s="7"/>
      <c r="BJ903" s="32"/>
      <c r="BK903" s="171" t="s">
        <v>1730</v>
      </c>
    </row>
    <row r="904" spans="1:63" s="19" customFormat="1" ht="23.25" customHeight="1" thickBot="1" x14ac:dyDescent="0.25">
      <c r="A904" s="62">
        <v>903</v>
      </c>
      <c r="B904" s="108">
        <v>990</v>
      </c>
      <c r="C904" s="108" t="s">
        <v>1609</v>
      </c>
      <c r="D904" s="21" t="s">
        <v>1266</v>
      </c>
      <c r="E904" s="21"/>
      <c r="F904" s="99">
        <f>11.85*100/14</f>
        <v>84.642857142857139</v>
      </c>
      <c r="G904" s="100">
        <f>1.15*100/14</f>
        <v>8.2142857142857135</v>
      </c>
      <c r="H904" s="100">
        <v>0</v>
      </c>
      <c r="I904" s="100">
        <v>0</v>
      </c>
      <c r="J904" s="100">
        <v>0</v>
      </c>
      <c r="K904" s="100">
        <v>0</v>
      </c>
      <c r="L904" s="100">
        <v>0</v>
      </c>
      <c r="M904" s="100">
        <v>0</v>
      </c>
      <c r="N904" s="100">
        <v>0</v>
      </c>
      <c r="O904" s="100">
        <v>0</v>
      </c>
      <c r="P904" s="100">
        <v>0</v>
      </c>
      <c r="Q904" s="100">
        <v>0</v>
      </c>
      <c r="R904" s="100">
        <v>0</v>
      </c>
      <c r="S904" s="101">
        <v>0</v>
      </c>
      <c r="T904" s="100">
        <f>1*100/14</f>
        <v>7.1428571428571432</v>
      </c>
      <c r="U904" s="100">
        <v>0</v>
      </c>
      <c r="V904" s="100">
        <v>0</v>
      </c>
      <c r="W904" s="100">
        <v>0</v>
      </c>
      <c r="X904" s="100">
        <v>0</v>
      </c>
      <c r="Y904" s="100">
        <v>0</v>
      </c>
      <c r="Z904" s="100">
        <v>0</v>
      </c>
      <c r="AA904" s="100">
        <v>0</v>
      </c>
      <c r="AB904" s="100">
        <v>0</v>
      </c>
      <c r="AC904" s="100">
        <v>0</v>
      </c>
      <c r="AD904" s="102">
        <f t="shared" si="85"/>
        <v>99.999999999999986</v>
      </c>
      <c r="AE904" s="100">
        <v>0</v>
      </c>
      <c r="AF904" s="100">
        <v>0</v>
      </c>
      <c r="AG904" s="100">
        <v>0</v>
      </c>
      <c r="AH904" s="100">
        <v>0</v>
      </c>
      <c r="AI904" s="120" t="s">
        <v>1529</v>
      </c>
      <c r="AJ904" s="98">
        <v>4</v>
      </c>
      <c r="AK904" s="105">
        <v>1323</v>
      </c>
      <c r="AL904" s="206"/>
      <c r="AM904" s="194"/>
      <c r="AN904" s="194"/>
      <c r="AO904" s="194"/>
      <c r="AP904" s="194"/>
      <c r="AQ904" s="194"/>
      <c r="AR904" s="194"/>
      <c r="AS904" s="194"/>
      <c r="AT904" s="207"/>
      <c r="AU904" s="194"/>
      <c r="AV904" s="208"/>
      <c r="AW904" s="194"/>
      <c r="AX904" s="194"/>
      <c r="AY904" s="120">
        <v>1</v>
      </c>
      <c r="AZ904" s="98">
        <v>205</v>
      </c>
      <c r="BA904" s="105">
        <v>10</v>
      </c>
      <c r="BB904" s="98">
        <v>5</v>
      </c>
      <c r="BC904" s="98">
        <v>10.039999999999999</v>
      </c>
      <c r="BD904" s="98"/>
      <c r="BE904" s="98"/>
      <c r="BF904" s="120"/>
      <c r="BG904" s="98"/>
      <c r="BH904" s="105"/>
      <c r="BI904" s="98"/>
      <c r="BJ904" s="70">
        <v>1</v>
      </c>
      <c r="BK904" s="21"/>
    </row>
    <row r="905" spans="1:63" ht="23.25" customHeight="1" x14ac:dyDescent="0.2">
      <c r="A905" s="7">
        <v>904</v>
      </c>
      <c r="B905" s="235">
        <v>992</v>
      </c>
      <c r="C905" s="267" t="s">
        <v>1610</v>
      </c>
      <c r="D905" s="54" t="s">
        <v>1246</v>
      </c>
      <c r="E905" s="54"/>
      <c r="F905" s="16">
        <f>11.6*100/14.7</f>
        <v>78.911564625850346</v>
      </c>
      <c r="G905" s="8">
        <f>1.4*100/14.7</f>
        <v>9.5238095238095237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>
        <v>0</v>
      </c>
      <c r="S905" s="17">
        <v>0</v>
      </c>
      <c r="T905" s="8">
        <f>1.7*100/14.7</f>
        <v>11.564625850340137</v>
      </c>
      <c r="U905" s="8">
        <v>0</v>
      </c>
      <c r="V905" s="8">
        <v>0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14">
        <f t="shared" si="85"/>
        <v>100</v>
      </c>
      <c r="AE905" s="8">
        <v>0</v>
      </c>
      <c r="AF905" s="8">
        <v>0</v>
      </c>
      <c r="AG905" s="8">
        <v>0</v>
      </c>
      <c r="AH905" s="8">
        <v>0</v>
      </c>
      <c r="AI905" s="39" t="s">
        <v>1531</v>
      </c>
      <c r="AJ905" s="7">
        <v>72</v>
      </c>
      <c r="AK905" s="62">
        <v>1323</v>
      </c>
      <c r="AL905" s="158"/>
      <c r="AM905" s="85"/>
      <c r="AN905" s="85"/>
      <c r="AO905" s="85"/>
      <c r="AP905" s="85"/>
      <c r="AQ905" s="85"/>
      <c r="AR905" s="85"/>
      <c r="AS905" s="85"/>
      <c r="AT905" s="205"/>
      <c r="AU905" s="85"/>
      <c r="AV905" s="196"/>
      <c r="AW905" s="85"/>
      <c r="AX905" s="85"/>
      <c r="AY905" s="39">
        <v>0.2</v>
      </c>
      <c r="AZ905" s="7">
        <v>173.5</v>
      </c>
      <c r="BA905" s="62"/>
      <c r="BB905" s="7" t="s">
        <v>1268</v>
      </c>
      <c r="BC905" s="7" t="s">
        <v>1952</v>
      </c>
      <c r="BD905" s="7" t="s">
        <v>1270</v>
      </c>
      <c r="BE905" s="7" t="s">
        <v>1272</v>
      </c>
      <c r="BF905" s="39"/>
      <c r="BG905" s="7"/>
      <c r="BH905" s="62"/>
      <c r="BI905" s="7"/>
      <c r="BJ905" s="32">
        <v>1</v>
      </c>
      <c r="BK905" s="54"/>
    </row>
    <row r="906" spans="1:63" ht="23.25" customHeight="1" x14ac:dyDescent="0.2">
      <c r="A906" s="62">
        <v>905</v>
      </c>
      <c r="B906" s="236"/>
      <c r="C906" s="268"/>
      <c r="D906" s="54" t="s">
        <v>1267</v>
      </c>
      <c r="E906" s="54"/>
      <c r="F906" s="16">
        <f>11.6*100/14</f>
        <v>82.857142857142861</v>
      </c>
      <c r="G906" s="8">
        <f>1.4*100/14</f>
        <v>10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17">
        <v>0</v>
      </c>
      <c r="T906" s="8">
        <f>1*100/14</f>
        <v>7.1428571428571432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  <c r="AD906" s="14">
        <f t="shared" si="85"/>
        <v>100</v>
      </c>
      <c r="AE906" s="8">
        <v>0</v>
      </c>
      <c r="AF906" s="8">
        <v>0</v>
      </c>
      <c r="AG906" s="8">
        <v>0</v>
      </c>
      <c r="AH906" s="8">
        <v>0</v>
      </c>
      <c r="AI906" s="39" t="s">
        <v>1531</v>
      </c>
      <c r="AJ906" s="7"/>
      <c r="AK906" s="62">
        <v>1323</v>
      </c>
      <c r="AL906" s="158"/>
      <c r="AM906" s="85"/>
      <c r="AN906" s="85"/>
      <c r="AO906" s="85"/>
      <c r="AP906" s="85"/>
      <c r="AQ906" s="85"/>
      <c r="AR906" s="85"/>
      <c r="AS906" s="85"/>
      <c r="AT906" s="205"/>
      <c r="AU906" s="85"/>
      <c r="AV906" s="196"/>
      <c r="AW906" s="85"/>
      <c r="AX906" s="85"/>
      <c r="AY906" s="39">
        <v>0.2</v>
      </c>
      <c r="AZ906" s="7">
        <v>192.6</v>
      </c>
      <c r="BA906" s="62"/>
      <c r="BB906" s="7">
        <v>2</v>
      </c>
      <c r="BC906" s="7">
        <v>20.38</v>
      </c>
      <c r="BD906" s="7">
        <v>201.2</v>
      </c>
      <c r="BE906" s="7">
        <v>9.9</v>
      </c>
      <c r="BF906" s="39"/>
      <c r="BG906" s="7"/>
      <c r="BH906" s="62"/>
      <c r="BI906" s="7"/>
      <c r="BJ906" s="32">
        <v>1</v>
      </c>
      <c r="BK906" s="54"/>
    </row>
    <row r="907" spans="1:63" ht="23.25" customHeight="1" x14ac:dyDescent="0.2">
      <c r="A907" s="7">
        <v>906</v>
      </c>
      <c r="B907" s="236"/>
      <c r="C907" s="268"/>
      <c r="D907" s="54" t="s">
        <v>80</v>
      </c>
      <c r="E907" s="54"/>
      <c r="F907" s="16">
        <f>11.6*100/14.7</f>
        <v>78.911564625850346</v>
      </c>
      <c r="G907" s="8">
        <f>1.4*100/14.7</f>
        <v>9.5238095238095237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17">
        <v>0</v>
      </c>
      <c r="T907" s="8">
        <f>1.7*100/14.7</f>
        <v>11.564625850340137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  <c r="AB907" s="8">
        <v>0</v>
      </c>
      <c r="AC907" s="8">
        <v>0</v>
      </c>
      <c r="AD907" s="14">
        <f t="shared" si="85"/>
        <v>100</v>
      </c>
      <c r="AE907" s="8">
        <f>2.9*100/14.7</f>
        <v>19.727891156462587</v>
      </c>
      <c r="AF907" s="8">
        <v>0</v>
      </c>
      <c r="AG907" s="8">
        <v>0</v>
      </c>
      <c r="AH907" s="8">
        <v>0</v>
      </c>
      <c r="AI907" s="39" t="s">
        <v>1531</v>
      </c>
      <c r="AJ907" s="7">
        <v>72</v>
      </c>
      <c r="AK907" s="62">
        <v>1323</v>
      </c>
      <c r="AL907" s="158"/>
      <c r="AM907" s="85"/>
      <c r="AN907" s="85"/>
      <c r="AO907" s="85"/>
      <c r="AP907" s="85"/>
      <c r="AQ907" s="85"/>
      <c r="AR907" s="85"/>
      <c r="AS907" s="85"/>
      <c r="AT907" s="205"/>
      <c r="AU907" s="85"/>
      <c r="AV907" s="196"/>
      <c r="AW907" s="85"/>
      <c r="AX907" s="85"/>
      <c r="AY907" s="39"/>
      <c r="AZ907" s="7"/>
      <c r="BA907" s="62"/>
      <c r="BB907" s="7" t="s">
        <v>1268</v>
      </c>
      <c r="BC907" s="7" t="s">
        <v>1273</v>
      </c>
      <c r="BD907" s="7" t="s">
        <v>1274</v>
      </c>
      <c r="BE907" s="7" t="s">
        <v>1275</v>
      </c>
      <c r="BF907" s="39"/>
      <c r="BG907" s="7"/>
      <c r="BH907" s="62"/>
      <c r="BI907" s="7"/>
      <c r="BJ907" s="32">
        <v>1</v>
      </c>
      <c r="BK907" s="54"/>
    </row>
    <row r="908" spans="1:63" ht="23.25" customHeight="1" thickBot="1" x14ac:dyDescent="0.25">
      <c r="A908" s="62">
        <v>907</v>
      </c>
      <c r="B908" s="237"/>
      <c r="C908" s="269"/>
      <c r="D908" s="54" t="s">
        <v>1269</v>
      </c>
      <c r="E908" s="54"/>
      <c r="F908" s="16">
        <f>11.6*100/14</f>
        <v>82.857142857142861</v>
      </c>
      <c r="G908" s="8">
        <f>1.4*100/14</f>
        <v>10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17">
        <v>0</v>
      </c>
      <c r="T908" s="8">
        <f>1*100/14</f>
        <v>7.1428571428571432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14">
        <f t="shared" si="85"/>
        <v>100</v>
      </c>
      <c r="AE908" s="8">
        <f>1.9*100/14</f>
        <v>13.571428571428571</v>
      </c>
      <c r="AF908" s="8">
        <v>0</v>
      </c>
      <c r="AG908" s="8">
        <v>0</v>
      </c>
      <c r="AH908" s="8">
        <v>0</v>
      </c>
      <c r="AI908" s="39" t="s">
        <v>1531</v>
      </c>
      <c r="AJ908" s="7"/>
      <c r="AK908" s="62">
        <v>1323</v>
      </c>
      <c r="AL908" s="158"/>
      <c r="AM908" s="85"/>
      <c r="AN908" s="85"/>
      <c r="AO908" s="85"/>
      <c r="AP908" s="85"/>
      <c r="AQ908" s="85"/>
      <c r="AR908" s="85"/>
      <c r="AS908" s="85"/>
      <c r="AT908" s="205"/>
      <c r="AU908" s="85"/>
      <c r="AV908" s="196"/>
      <c r="AW908" s="85"/>
      <c r="AX908" s="85"/>
      <c r="AY908" s="39"/>
      <c r="AZ908" s="7"/>
      <c r="BA908" s="62"/>
      <c r="BB908" s="7">
        <v>2</v>
      </c>
      <c r="BC908" s="7">
        <v>15.6</v>
      </c>
      <c r="BD908" s="7">
        <v>323.5</v>
      </c>
      <c r="BE908" s="7">
        <v>9.6999999999999993</v>
      </c>
      <c r="BF908" s="39"/>
      <c r="BG908" s="7"/>
      <c r="BH908" s="62"/>
      <c r="BI908" s="7"/>
      <c r="BJ908" s="32">
        <v>1</v>
      </c>
      <c r="BK908" s="54"/>
    </row>
    <row r="909" spans="1:63" s="4" customFormat="1" ht="23.25" customHeight="1" x14ac:dyDescent="0.2">
      <c r="A909" s="7">
        <v>908</v>
      </c>
      <c r="B909" s="218">
        <v>993</v>
      </c>
      <c r="C909" s="218" t="s">
        <v>1611</v>
      </c>
      <c r="D909" s="12" t="s">
        <v>1276</v>
      </c>
      <c r="E909" s="12"/>
      <c r="F909" s="87">
        <f>(0.99*11.5)*100/14</f>
        <v>81.321428571428569</v>
      </c>
      <c r="G909" s="88">
        <f>1.5*100/14</f>
        <v>10.714285714285714</v>
      </c>
      <c r="H909" s="88">
        <v>0</v>
      </c>
      <c r="I909" s="88">
        <v>0</v>
      </c>
      <c r="J909" s="88">
        <v>0</v>
      </c>
      <c r="K909" s="88">
        <v>0</v>
      </c>
      <c r="L909" s="88">
        <v>0</v>
      </c>
      <c r="M909" s="88">
        <v>0</v>
      </c>
      <c r="N909" s="88">
        <v>0</v>
      </c>
      <c r="O909" s="88">
        <v>0</v>
      </c>
      <c r="P909" s="88">
        <f>(0.01*11.5)*100/14</f>
        <v>0.8214285714285714</v>
      </c>
      <c r="Q909" s="88">
        <v>0</v>
      </c>
      <c r="R909" s="88">
        <v>0</v>
      </c>
      <c r="S909" s="89">
        <v>0</v>
      </c>
      <c r="T909" s="88">
        <f>1/14*100</f>
        <v>7.1428571428571423</v>
      </c>
      <c r="U909" s="88">
        <v>0</v>
      </c>
      <c r="V909" s="88">
        <v>0</v>
      </c>
      <c r="W909" s="88">
        <v>0</v>
      </c>
      <c r="X909" s="88">
        <v>0</v>
      </c>
      <c r="Y909" s="88">
        <v>0</v>
      </c>
      <c r="Z909" s="88">
        <v>0</v>
      </c>
      <c r="AA909" s="88">
        <v>0</v>
      </c>
      <c r="AB909" s="88">
        <v>0</v>
      </c>
      <c r="AC909" s="88">
        <v>0</v>
      </c>
      <c r="AD909" s="90">
        <f t="shared" si="85"/>
        <v>99.999999999999986</v>
      </c>
      <c r="AE909" s="88">
        <v>0</v>
      </c>
      <c r="AF909" s="88">
        <v>0</v>
      </c>
      <c r="AG909" s="88">
        <v>0</v>
      </c>
      <c r="AH909" s="88">
        <v>0</v>
      </c>
      <c r="AI909" s="156" t="s">
        <v>1531</v>
      </c>
      <c r="AJ909" s="45">
        <v>240</v>
      </c>
      <c r="AK909" s="91">
        <v>1353</v>
      </c>
      <c r="AL909" s="197"/>
      <c r="AM909" s="189"/>
      <c r="AN909" s="189"/>
      <c r="AO909" s="189"/>
      <c r="AP909" s="189"/>
      <c r="AQ909" s="189"/>
      <c r="AR909" s="189"/>
      <c r="AS909" s="189"/>
      <c r="AT909" s="198"/>
      <c r="AU909" s="189"/>
      <c r="AV909" s="199"/>
      <c r="AW909" s="189">
        <v>11.5076</v>
      </c>
      <c r="AX909" s="189"/>
      <c r="AY909" s="156">
        <v>0</v>
      </c>
      <c r="AZ909" s="45">
        <v>184</v>
      </c>
      <c r="BA909" s="91"/>
      <c r="BB909" s="45"/>
      <c r="BC909" s="45"/>
      <c r="BD909" s="45"/>
      <c r="BE909" s="45"/>
      <c r="BF909" s="156"/>
      <c r="BG909" s="45"/>
      <c r="BH909" s="91"/>
      <c r="BI909" s="45"/>
      <c r="BJ909" s="67">
        <v>1</v>
      </c>
      <c r="BK909" s="12"/>
    </row>
    <row r="910" spans="1:63" ht="23.25" customHeight="1" x14ac:dyDescent="0.2">
      <c r="A910" s="62">
        <v>909</v>
      </c>
      <c r="B910" s="221"/>
      <c r="C910" s="221"/>
      <c r="D910" s="54" t="s">
        <v>1277</v>
      </c>
      <c r="E910" s="54"/>
      <c r="F910" s="16">
        <f>(0.98*11.5)*100/14</f>
        <v>80.5</v>
      </c>
      <c r="G910" s="8">
        <f>1.5*100/14</f>
        <v>10.714285714285714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f>(0.02*11.5)*100/14</f>
        <v>1.6428571428571428</v>
      </c>
      <c r="Q910" s="8">
        <v>0</v>
      </c>
      <c r="R910" s="8">
        <v>0</v>
      </c>
      <c r="S910" s="17">
        <v>0</v>
      </c>
      <c r="T910" s="8">
        <f>1/14*100</f>
        <v>7.1428571428571423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14">
        <f t="shared" si="85"/>
        <v>99.999999999999986</v>
      </c>
      <c r="AE910" s="8">
        <v>0</v>
      </c>
      <c r="AF910" s="8">
        <v>0</v>
      </c>
      <c r="AG910" s="8">
        <v>0</v>
      </c>
      <c r="AH910" s="8">
        <v>0</v>
      </c>
      <c r="AI910" s="39" t="s">
        <v>1531</v>
      </c>
      <c r="AJ910" s="7">
        <v>240</v>
      </c>
      <c r="AK910" s="62">
        <v>1353</v>
      </c>
      <c r="AL910" s="158"/>
      <c r="AM910" s="85"/>
      <c r="AN910" s="85"/>
      <c r="AO910" s="85"/>
      <c r="AP910" s="85"/>
      <c r="AQ910" s="85"/>
      <c r="AR910" s="85"/>
      <c r="AS910" s="85"/>
      <c r="AT910" s="205"/>
      <c r="AU910" s="85"/>
      <c r="AV910" s="196"/>
      <c r="AW910" s="85">
        <v>11.495699999999999</v>
      </c>
      <c r="AX910" s="85"/>
      <c r="AY910" s="39">
        <v>0</v>
      </c>
      <c r="AZ910" s="7">
        <v>173</v>
      </c>
      <c r="BA910" s="62"/>
      <c r="BB910" s="7"/>
      <c r="BC910" s="7"/>
      <c r="BD910" s="7"/>
      <c r="BE910" s="7"/>
      <c r="BF910" s="39"/>
      <c r="BG910" s="7"/>
      <c r="BH910" s="62"/>
      <c r="BI910" s="7"/>
      <c r="BJ910" s="32">
        <v>1</v>
      </c>
      <c r="BK910" s="54"/>
    </row>
    <row r="911" spans="1:63" ht="23.25" customHeight="1" x14ac:dyDescent="0.2">
      <c r="A911" s="7">
        <v>910</v>
      </c>
      <c r="B911" s="221"/>
      <c r="C911" s="221"/>
      <c r="D911" s="54" t="s">
        <v>1278</v>
      </c>
      <c r="E911" s="54"/>
      <c r="F911" s="16">
        <f>(0.97*11.5)*100/14</f>
        <v>79.678571428571431</v>
      </c>
      <c r="G911" s="8">
        <f>1.5*100/14</f>
        <v>10.714285714285714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f>(0.03*11.5)*100/14</f>
        <v>2.4642857142857144</v>
      </c>
      <c r="Q911" s="8">
        <v>0</v>
      </c>
      <c r="R911" s="8">
        <v>0</v>
      </c>
      <c r="S911" s="17">
        <v>0</v>
      </c>
      <c r="T911" s="8">
        <f>1/14*100</f>
        <v>7.1428571428571423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14">
        <f t="shared" si="85"/>
        <v>99.999999999999986</v>
      </c>
      <c r="AE911" s="8">
        <v>0</v>
      </c>
      <c r="AF911" s="8">
        <v>0</v>
      </c>
      <c r="AG911" s="8">
        <v>0</v>
      </c>
      <c r="AH911" s="8">
        <v>0</v>
      </c>
      <c r="AI911" s="39" t="s">
        <v>1531</v>
      </c>
      <c r="AJ911" s="7">
        <v>240</v>
      </c>
      <c r="AK911" s="62">
        <v>1353</v>
      </c>
      <c r="AL911" s="158"/>
      <c r="AM911" s="85"/>
      <c r="AN911" s="85"/>
      <c r="AO911" s="85"/>
      <c r="AP911" s="85"/>
      <c r="AQ911" s="85"/>
      <c r="AR911" s="85"/>
      <c r="AS911" s="85"/>
      <c r="AT911" s="205"/>
      <c r="AU911" s="85"/>
      <c r="AV911" s="196"/>
      <c r="AW911" s="85">
        <v>11.483700000000001</v>
      </c>
      <c r="AX911" s="85"/>
      <c r="AY911" s="39">
        <v>0</v>
      </c>
      <c r="AZ911" s="7">
        <v>151</v>
      </c>
      <c r="BA911" s="62"/>
      <c r="BB911" s="7"/>
      <c r="BC911" s="7"/>
      <c r="BD911" s="7"/>
      <c r="BE911" s="7"/>
      <c r="BF911" s="39"/>
      <c r="BG911" s="7"/>
      <c r="BH911" s="62"/>
      <c r="BI911" s="7"/>
      <c r="BJ911" s="32">
        <v>1</v>
      </c>
      <c r="BK911" s="54"/>
    </row>
    <row r="912" spans="1:63" s="6" customFormat="1" ht="23.25" customHeight="1" thickBot="1" x14ac:dyDescent="0.25">
      <c r="A912" s="62">
        <v>911</v>
      </c>
      <c r="B912" s="222"/>
      <c r="C912" s="222"/>
      <c r="D912" s="13" t="s">
        <v>1279</v>
      </c>
      <c r="E912" s="13"/>
      <c r="F912" s="80">
        <f>(0.99*11.5)*100/14</f>
        <v>81.321428571428569</v>
      </c>
      <c r="G912" s="81">
        <f>1.5*100/14</f>
        <v>10.714285714285714</v>
      </c>
      <c r="H912" s="81">
        <v>0</v>
      </c>
      <c r="I912" s="81">
        <v>0</v>
      </c>
      <c r="J912" s="81">
        <v>0</v>
      </c>
      <c r="K912" s="81">
        <v>0</v>
      </c>
      <c r="L912" s="81">
        <v>0</v>
      </c>
      <c r="M912" s="81">
        <v>0</v>
      </c>
      <c r="N912" s="81">
        <v>0</v>
      </c>
      <c r="O912" s="81">
        <v>0</v>
      </c>
      <c r="P912" s="81">
        <f>(0.01*11.5)*100/14</f>
        <v>0.8214285714285714</v>
      </c>
      <c r="Q912" s="81">
        <v>0</v>
      </c>
      <c r="R912" s="81">
        <v>0</v>
      </c>
      <c r="S912" s="82">
        <v>0</v>
      </c>
      <c r="T912" s="81">
        <f>1/14*100</f>
        <v>7.1428571428571423</v>
      </c>
      <c r="U912" s="81">
        <v>0</v>
      </c>
      <c r="V912" s="81">
        <v>0</v>
      </c>
      <c r="W912" s="81">
        <v>0</v>
      </c>
      <c r="X912" s="81">
        <v>0</v>
      </c>
      <c r="Y912" s="81">
        <v>0</v>
      </c>
      <c r="Z912" s="81">
        <v>0</v>
      </c>
      <c r="AA912" s="81">
        <v>0</v>
      </c>
      <c r="AB912" s="81">
        <v>0</v>
      </c>
      <c r="AC912" s="81">
        <v>0</v>
      </c>
      <c r="AD912" s="83">
        <f t="shared" si="85"/>
        <v>99.999999999999986</v>
      </c>
      <c r="AE912" s="81">
        <f>1.61*100/14</f>
        <v>11.5</v>
      </c>
      <c r="AF912" s="81">
        <v>0</v>
      </c>
      <c r="AG912" s="81">
        <v>0</v>
      </c>
      <c r="AH912" s="81">
        <v>0</v>
      </c>
      <c r="AI912" s="79" t="s">
        <v>1531</v>
      </c>
      <c r="AJ912" s="65">
        <v>240</v>
      </c>
      <c r="AK912" s="78">
        <v>1353</v>
      </c>
      <c r="AL912" s="200"/>
      <c r="AM912" s="190"/>
      <c r="AN912" s="190"/>
      <c r="AO912" s="190"/>
      <c r="AP912" s="190"/>
      <c r="AQ912" s="190"/>
      <c r="AR912" s="190"/>
      <c r="AS912" s="190"/>
      <c r="AT912" s="201"/>
      <c r="AU912" s="190"/>
      <c r="AV912" s="202"/>
      <c r="AW912" s="190">
        <v>11.6248</v>
      </c>
      <c r="AX912" s="190"/>
      <c r="AY912" s="79">
        <v>0</v>
      </c>
      <c r="AZ912" s="65">
        <v>313</v>
      </c>
      <c r="BA912" s="78"/>
      <c r="BB912" s="65" t="s">
        <v>1152</v>
      </c>
      <c r="BC912" s="65" t="s">
        <v>1280</v>
      </c>
      <c r="BD912" s="65" t="s">
        <v>1281</v>
      </c>
      <c r="BE912" s="65" t="s">
        <v>1282</v>
      </c>
      <c r="BF912" s="79"/>
      <c r="BG912" s="65"/>
      <c r="BH912" s="78"/>
      <c r="BI912" s="65"/>
      <c r="BJ912" s="68">
        <v>1</v>
      </c>
      <c r="BK912" s="13"/>
    </row>
    <row r="913" spans="1:63" ht="23.25" customHeight="1" x14ac:dyDescent="0.2">
      <c r="A913" s="7">
        <v>912</v>
      </c>
      <c r="B913" s="218">
        <v>994</v>
      </c>
      <c r="C913" s="218" t="s">
        <v>1612</v>
      </c>
      <c r="D913" s="54" t="s">
        <v>1283</v>
      </c>
      <c r="E913" s="54"/>
      <c r="F913" s="16">
        <f>11.4*100/14</f>
        <v>81.428571428571431</v>
      </c>
      <c r="G913" s="8">
        <f>1.6*100/14</f>
        <v>11.428571428571429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17">
        <v>0</v>
      </c>
      <c r="T913" s="8">
        <f>0.8*100/14</f>
        <v>5.7142857142857144</v>
      </c>
      <c r="U913" s="8">
        <v>0</v>
      </c>
      <c r="V913" s="8">
        <v>0</v>
      </c>
      <c r="W913" s="8">
        <f>0.2*100/14</f>
        <v>1.4285714285714286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14">
        <f t="shared" si="85"/>
        <v>100</v>
      </c>
      <c r="AE913" s="8">
        <v>0</v>
      </c>
      <c r="AF913" s="8">
        <v>0</v>
      </c>
      <c r="AG913" s="8">
        <v>0</v>
      </c>
      <c r="AH913" s="8">
        <v>0</v>
      </c>
      <c r="AI913" s="39" t="s">
        <v>1531</v>
      </c>
      <c r="AJ913" s="7">
        <v>672</v>
      </c>
      <c r="AK913" s="62">
        <v>1393</v>
      </c>
      <c r="AL913" s="158"/>
      <c r="AM913" s="85"/>
      <c r="AN913" s="85"/>
      <c r="AO913" s="85"/>
      <c r="AP913" s="85"/>
      <c r="AQ913" s="85"/>
      <c r="AR913" s="85"/>
      <c r="AS913" s="85"/>
      <c r="AT913" s="205"/>
      <c r="AU913" s="85"/>
      <c r="AV913" s="196"/>
      <c r="AW913" s="85"/>
      <c r="AX913" s="85"/>
      <c r="AY913" s="39">
        <v>0.01</v>
      </c>
      <c r="AZ913" s="7">
        <v>195.1</v>
      </c>
      <c r="BA913" s="62">
        <v>8.9</v>
      </c>
      <c r="BB913" s="7">
        <v>3</v>
      </c>
      <c r="BC913" s="7">
        <v>21.75</v>
      </c>
      <c r="BD913" s="7">
        <v>200.8</v>
      </c>
      <c r="BE913" s="7">
        <v>14.5</v>
      </c>
      <c r="BF913" s="39"/>
      <c r="BG913" s="7"/>
      <c r="BH913" s="62"/>
      <c r="BI913" s="7"/>
      <c r="BJ913" s="32">
        <v>1</v>
      </c>
      <c r="BK913" s="54"/>
    </row>
    <row r="914" spans="1:63" ht="23.25" customHeight="1" x14ac:dyDescent="0.2">
      <c r="A914" s="62">
        <v>913</v>
      </c>
      <c r="B914" s="221"/>
      <c r="C914" s="221"/>
      <c r="D914" s="54" t="s">
        <v>1284</v>
      </c>
      <c r="E914" s="54"/>
      <c r="F914" s="16">
        <f>11.4*100/14</f>
        <v>81.428571428571431</v>
      </c>
      <c r="G914" s="8">
        <f>1.6*100/14</f>
        <v>11.428571428571429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17">
        <v>0</v>
      </c>
      <c r="T914" s="8">
        <f>0.8*100/14</f>
        <v>5.7142857142857144</v>
      </c>
      <c r="U914" s="8">
        <v>0</v>
      </c>
      <c r="V914" s="8">
        <v>0</v>
      </c>
      <c r="W914" s="8">
        <f>0.2*100/14</f>
        <v>1.4285714285714286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14">
        <f t="shared" si="85"/>
        <v>100</v>
      </c>
      <c r="AE914" s="8">
        <f>0.13*100/14</f>
        <v>0.9285714285714286</v>
      </c>
      <c r="AF914" s="8">
        <v>0</v>
      </c>
      <c r="AG914" s="8">
        <v>0</v>
      </c>
      <c r="AH914" s="8">
        <v>0</v>
      </c>
      <c r="AI914" s="39" t="s">
        <v>1531</v>
      </c>
      <c r="AJ914" s="7">
        <v>672</v>
      </c>
      <c r="AK914" s="62">
        <v>1393</v>
      </c>
      <c r="AL914" s="158"/>
      <c r="AM914" s="85"/>
      <c r="AN914" s="85"/>
      <c r="AO914" s="85"/>
      <c r="AP914" s="85"/>
      <c r="AQ914" s="85"/>
      <c r="AR914" s="85"/>
      <c r="AS914" s="85"/>
      <c r="AT914" s="205"/>
      <c r="AU914" s="85"/>
      <c r="AV914" s="196"/>
      <c r="AW914" s="85"/>
      <c r="AX914" s="85"/>
      <c r="AY914" s="39">
        <v>0.01</v>
      </c>
      <c r="AZ914" s="7">
        <v>327.7</v>
      </c>
      <c r="BA914" s="62">
        <v>6.1</v>
      </c>
      <c r="BB914" s="7">
        <v>3</v>
      </c>
      <c r="BC914" s="7">
        <v>14.85</v>
      </c>
      <c r="BD914" s="7">
        <v>323.39999999999998</v>
      </c>
      <c r="BE914" s="7">
        <v>9.6999999999999993</v>
      </c>
      <c r="BF914" s="39"/>
      <c r="BG914" s="7"/>
      <c r="BH914" s="62"/>
      <c r="BI914" s="7"/>
      <c r="BJ914" s="32">
        <v>1</v>
      </c>
      <c r="BK914" s="54"/>
    </row>
    <row r="915" spans="1:63" ht="23.25" customHeight="1" x14ac:dyDescent="0.2">
      <c r="A915" s="7">
        <v>914</v>
      </c>
      <c r="B915" s="221"/>
      <c r="C915" s="221"/>
      <c r="D915" s="54" t="s">
        <v>1285</v>
      </c>
      <c r="E915" s="54"/>
      <c r="F915" s="16">
        <f>11.4*100/14</f>
        <v>81.428571428571431</v>
      </c>
      <c r="G915" s="8">
        <f>1.6*100/14</f>
        <v>11.428571428571429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17">
        <v>0</v>
      </c>
      <c r="T915" s="8">
        <f>0.6*100/14</f>
        <v>4.2857142857142856</v>
      </c>
      <c r="U915" s="8">
        <v>0</v>
      </c>
      <c r="V915" s="8">
        <v>0</v>
      </c>
      <c r="W915" s="8">
        <f>0.4*100/14</f>
        <v>2.8571428571428572</v>
      </c>
      <c r="X915" s="8">
        <v>0</v>
      </c>
      <c r="Y915" s="8">
        <v>0</v>
      </c>
      <c r="Z915" s="8">
        <v>0</v>
      </c>
      <c r="AA915" s="8">
        <v>0</v>
      </c>
      <c r="AB915" s="8">
        <v>0</v>
      </c>
      <c r="AC915" s="8">
        <v>0</v>
      </c>
      <c r="AD915" s="14">
        <f t="shared" si="85"/>
        <v>100.00000000000001</v>
      </c>
      <c r="AE915" s="8">
        <v>0</v>
      </c>
      <c r="AF915" s="8">
        <v>0</v>
      </c>
      <c r="AG915" s="8">
        <v>0</v>
      </c>
      <c r="AH915" s="8">
        <v>0</v>
      </c>
      <c r="AI915" s="39" t="s">
        <v>1531</v>
      </c>
      <c r="AJ915" s="7">
        <v>672</v>
      </c>
      <c r="AK915" s="62">
        <v>1393</v>
      </c>
      <c r="AL915" s="158"/>
      <c r="AM915" s="85"/>
      <c r="AN915" s="85"/>
      <c r="AO915" s="85"/>
      <c r="AP915" s="85"/>
      <c r="AQ915" s="85"/>
      <c r="AR915" s="85"/>
      <c r="AS915" s="85"/>
      <c r="AT915" s="205"/>
      <c r="AU915" s="85"/>
      <c r="AV915" s="196"/>
      <c r="AW915" s="85"/>
      <c r="AX915" s="85"/>
      <c r="AY915" s="39">
        <v>0.01</v>
      </c>
      <c r="AZ915" s="7">
        <v>192.8</v>
      </c>
      <c r="BA915" s="62">
        <v>6.3</v>
      </c>
      <c r="BB915" s="7">
        <v>3</v>
      </c>
      <c r="BC915" s="7">
        <v>21.45</v>
      </c>
      <c r="BD915" s="7">
        <v>196.1</v>
      </c>
      <c r="BE915" s="7">
        <v>13.7</v>
      </c>
      <c r="BF915" s="39"/>
      <c r="BG915" s="7"/>
      <c r="BH915" s="62"/>
      <c r="BI915" s="7"/>
      <c r="BJ915" s="32">
        <v>1</v>
      </c>
      <c r="BK915" s="54"/>
    </row>
    <row r="916" spans="1:63" ht="23.25" customHeight="1" thickBot="1" x14ac:dyDescent="0.25">
      <c r="A916" s="62">
        <v>915</v>
      </c>
      <c r="B916" s="222"/>
      <c r="C916" s="222"/>
      <c r="D916" s="54" t="s">
        <v>1286</v>
      </c>
      <c r="E916" s="54"/>
      <c r="F916" s="16">
        <f>11.4*100/14</f>
        <v>81.428571428571431</v>
      </c>
      <c r="G916" s="8">
        <f>1.6*100/14</f>
        <v>11.428571428571429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17">
        <v>0</v>
      </c>
      <c r="T916" s="8">
        <f>0.6*100/14</f>
        <v>4.2857142857142856</v>
      </c>
      <c r="U916" s="8">
        <v>0</v>
      </c>
      <c r="V916" s="8">
        <v>0</v>
      </c>
      <c r="W916" s="8">
        <f>0.4*100/14</f>
        <v>2.8571428571428572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14">
        <f t="shared" si="85"/>
        <v>100.00000000000001</v>
      </c>
      <c r="AE916" s="8">
        <f>0.87*100/14</f>
        <v>6.2142857142857144</v>
      </c>
      <c r="AF916" s="8">
        <v>0</v>
      </c>
      <c r="AG916" s="8">
        <v>0</v>
      </c>
      <c r="AH916" s="8">
        <v>0</v>
      </c>
      <c r="AI916" s="39" t="s">
        <v>1531</v>
      </c>
      <c r="AJ916" s="7">
        <v>672</v>
      </c>
      <c r="AK916" s="62">
        <v>1393</v>
      </c>
      <c r="AL916" s="158"/>
      <c r="AM916" s="85"/>
      <c r="AN916" s="85"/>
      <c r="AO916" s="85"/>
      <c r="AP916" s="85"/>
      <c r="AQ916" s="85"/>
      <c r="AR916" s="85"/>
      <c r="AS916" s="85"/>
      <c r="AT916" s="205"/>
      <c r="AU916" s="85"/>
      <c r="AV916" s="196"/>
      <c r="AW916" s="85"/>
      <c r="AX916" s="85"/>
      <c r="AY916" s="39">
        <v>0.01</v>
      </c>
      <c r="AZ916" s="7">
        <v>321.10000000000002</v>
      </c>
      <c r="BA916" s="62">
        <v>7</v>
      </c>
      <c r="BB916" s="7">
        <v>3</v>
      </c>
      <c r="BC916" s="7">
        <v>17.899999999999999</v>
      </c>
      <c r="BD916" s="7">
        <v>320</v>
      </c>
      <c r="BE916" s="7">
        <v>12.9</v>
      </c>
      <c r="BF916" s="39"/>
      <c r="BG916" s="7"/>
      <c r="BH916" s="62"/>
      <c r="BI916" s="7"/>
      <c r="BJ916" s="32">
        <v>1</v>
      </c>
      <c r="BK916" s="54"/>
    </row>
    <row r="917" spans="1:63" s="4" customFormat="1" ht="23.25" customHeight="1" x14ac:dyDescent="0.2">
      <c r="A917" s="7">
        <v>916</v>
      </c>
      <c r="B917" s="218">
        <v>997</v>
      </c>
      <c r="C917" s="218" t="s">
        <v>1613</v>
      </c>
      <c r="D917" s="12"/>
      <c r="E917" s="12" t="s">
        <v>1287</v>
      </c>
      <c r="F917" s="87">
        <f>11.22*100/14</f>
        <v>80.142857142857139</v>
      </c>
      <c r="G917" s="88">
        <f>1.32*100/14</f>
        <v>9.4285714285714288</v>
      </c>
      <c r="H917" s="88">
        <v>0</v>
      </c>
      <c r="I917" s="88">
        <v>0</v>
      </c>
      <c r="J917" s="88">
        <v>0</v>
      </c>
      <c r="K917" s="88">
        <v>0</v>
      </c>
      <c r="L917" s="88">
        <v>0</v>
      </c>
      <c r="M917" s="88">
        <v>0</v>
      </c>
      <c r="N917" s="88">
        <v>0</v>
      </c>
      <c r="O917" s="88">
        <v>0</v>
      </c>
      <c r="P917" s="88">
        <f>0.46*100/14</f>
        <v>3.2857142857142856</v>
      </c>
      <c r="Q917" s="88">
        <v>0</v>
      </c>
      <c r="R917" s="88">
        <v>0</v>
      </c>
      <c r="S917" s="89">
        <v>0</v>
      </c>
      <c r="T917" s="88">
        <f>1*100/14</f>
        <v>7.1428571428571432</v>
      </c>
      <c r="U917" s="88">
        <v>0</v>
      </c>
      <c r="V917" s="88">
        <v>0</v>
      </c>
      <c r="W917" s="88">
        <v>0</v>
      </c>
      <c r="X917" s="88">
        <v>0</v>
      </c>
      <c r="Y917" s="88">
        <v>0</v>
      </c>
      <c r="Z917" s="88">
        <v>0</v>
      </c>
      <c r="AA917" s="88">
        <v>0</v>
      </c>
      <c r="AB917" s="88">
        <v>0</v>
      </c>
      <c r="AC917" s="88">
        <v>0</v>
      </c>
      <c r="AD917" s="90">
        <f t="shared" si="85"/>
        <v>100</v>
      </c>
      <c r="AE917" s="88">
        <v>0</v>
      </c>
      <c r="AF917" s="88">
        <v>0</v>
      </c>
      <c r="AG917" s="88">
        <v>0</v>
      </c>
      <c r="AH917" s="88">
        <v>0</v>
      </c>
      <c r="AI917" s="156" t="s">
        <v>1531</v>
      </c>
      <c r="AJ917" s="45">
        <v>240</v>
      </c>
      <c r="AK917" s="91">
        <v>1323</v>
      </c>
      <c r="AL917" s="197"/>
      <c r="AM917" s="189"/>
      <c r="AN917" s="189"/>
      <c r="AO917" s="189"/>
      <c r="AP917" s="189"/>
      <c r="AQ917" s="189"/>
      <c r="AR917" s="189"/>
      <c r="AS917" s="189"/>
      <c r="AT917" s="198"/>
      <c r="AU917" s="189"/>
      <c r="AV917" s="199"/>
      <c r="AW917" s="189"/>
      <c r="AX917" s="189"/>
      <c r="AY917" s="156">
        <v>1</v>
      </c>
      <c r="AZ917" s="45">
        <v>116</v>
      </c>
      <c r="BA917" s="91">
        <v>1.1000000000000001</v>
      </c>
      <c r="BB917" s="45"/>
      <c r="BC917" s="45"/>
      <c r="BD917" s="45"/>
      <c r="BE917" s="45"/>
      <c r="BF917" s="156"/>
      <c r="BG917" s="45"/>
      <c r="BH917" s="91"/>
      <c r="BI917" s="45"/>
      <c r="BJ917" s="67">
        <v>1</v>
      </c>
      <c r="BK917" s="12"/>
    </row>
    <row r="918" spans="1:63" ht="23.25" customHeight="1" x14ac:dyDescent="0.2">
      <c r="A918" s="62">
        <v>917</v>
      </c>
      <c r="B918" s="221"/>
      <c r="C918" s="221"/>
      <c r="D918" s="54"/>
      <c r="E918" s="54" t="s">
        <v>1288</v>
      </c>
      <c r="F918" s="16">
        <f>11.33*100/14</f>
        <v>80.928571428571431</v>
      </c>
      <c r="G918" s="8">
        <f>1.3*100/14</f>
        <v>9.2857142857142865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f>0.37*100/14</f>
        <v>2.6428571428571428</v>
      </c>
      <c r="Q918" s="8">
        <v>0</v>
      </c>
      <c r="R918" s="8">
        <v>0</v>
      </c>
      <c r="S918" s="17">
        <v>0</v>
      </c>
      <c r="T918" s="8">
        <f t="shared" ref="T918:T925" si="93">1*100/14</f>
        <v>7.1428571428571432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  <c r="AD918" s="14">
        <f t="shared" si="85"/>
        <v>100</v>
      </c>
      <c r="AE918" s="8">
        <v>0</v>
      </c>
      <c r="AF918" s="8">
        <v>0</v>
      </c>
      <c r="AG918" s="8">
        <v>0</v>
      </c>
      <c r="AH918" s="8">
        <v>0</v>
      </c>
      <c r="AI918" s="39" t="s">
        <v>1531</v>
      </c>
      <c r="AJ918" s="7">
        <v>240</v>
      </c>
      <c r="AK918" s="62">
        <v>1323</v>
      </c>
      <c r="AL918" s="158"/>
      <c r="AM918" s="85"/>
      <c r="AN918" s="85"/>
      <c r="AO918" s="85"/>
      <c r="AP918" s="85"/>
      <c r="AQ918" s="85"/>
      <c r="AR918" s="85"/>
      <c r="AS918" s="85"/>
      <c r="AT918" s="205"/>
      <c r="AU918" s="85"/>
      <c r="AV918" s="196"/>
      <c r="AW918" s="85"/>
      <c r="AX918" s="85"/>
      <c r="AY918" s="39">
        <v>1</v>
      </c>
      <c r="AZ918" s="7">
        <v>129</v>
      </c>
      <c r="BA918" s="62">
        <v>1.7</v>
      </c>
      <c r="BB918" s="7" t="s">
        <v>1299</v>
      </c>
      <c r="BC918" s="7" t="s">
        <v>1306</v>
      </c>
      <c r="BD918" s="7" t="s">
        <v>1307</v>
      </c>
      <c r="BE918" s="7" t="s">
        <v>1308</v>
      </c>
      <c r="BF918" s="39"/>
      <c r="BG918" s="7"/>
      <c r="BH918" s="62"/>
      <c r="BI918" s="7"/>
      <c r="BJ918" s="32">
        <v>1</v>
      </c>
      <c r="BK918" s="54"/>
    </row>
    <row r="919" spans="1:63" ht="23.25" customHeight="1" x14ac:dyDescent="0.2">
      <c r="A919" s="7">
        <v>918</v>
      </c>
      <c r="B919" s="221"/>
      <c r="C919" s="221"/>
      <c r="D919" s="54"/>
      <c r="E919" s="54" t="s">
        <v>1289</v>
      </c>
      <c r="F919" s="16">
        <f>11.41*100/14</f>
        <v>81.5</v>
      </c>
      <c r="G919" s="8">
        <f>1.29*100/14</f>
        <v>9.2142857142857135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f>0.3*100/14</f>
        <v>2.1428571428571428</v>
      </c>
      <c r="Q919" s="8">
        <v>0</v>
      </c>
      <c r="R919" s="8">
        <v>0</v>
      </c>
      <c r="S919" s="17">
        <v>0</v>
      </c>
      <c r="T919" s="8">
        <f t="shared" si="93"/>
        <v>7.1428571428571432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14">
        <f t="shared" si="85"/>
        <v>99.999999999999986</v>
      </c>
      <c r="AE919" s="8">
        <v>0</v>
      </c>
      <c r="AF919" s="8">
        <v>0</v>
      </c>
      <c r="AG919" s="8">
        <v>0</v>
      </c>
      <c r="AH919" s="8">
        <v>0</v>
      </c>
      <c r="AI919" s="39" t="s">
        <v>1531</v>
      </c>
      <c r="AJ919" s="7">
        <v>240</v>
      </c>
      <c r="AK919" s="62">
        <v>1323</v>
      </c>
      <c r="AL919" s="158"/>
      <c r="AM919" s="85"/>
      <c r="AN919" s="85"/>
      <c r="AO919" s="85"/>
      <c r="AP919" s="85"/>
      <c r="AQ919" s="85"/>
      <c r="AR919" s="85"/>
      <c r="AS919" s="85"/>
      <c r="AT919" s="205"/>
      <c r="AU919" s="85"/>
      <c r="AV919" s="196"/>
      <c r="AW919" s="85"/>
      <c r="AX919" s="85"/>
      <c r="AY919" s="39">
        <v>1</v>
      </c>
      <c r="AZ919" s="7">
        <v>138</v>
      </c>
      <c r="BA919" s="62">
        <v>2.6</v>
      </c>
      <c r="BB919" s="7"/>
      <c r="BC919" s="7"/>
      <c r="BD919" s="7"/>
      <c r="BE919" s="7"/>
      <c r="BF919" s="39"/>
      <c r="BG919" s="7"/>
      <c r="BH919" s="62"/>
      <c r="BI919" s="7"/>
      <c r="BJ919" s="32">
        <v>1</v>
      </c>
      <c r="BK919" s="54"/>
    </row>
    <row r="920" spans="1:63" ht="23.25" customHeight="1" x14ac:dyDescent="0.2">
      <c r="A920" s="62">
        <v>919</v>
      </c>
      <c r="B920" s="221"/>
      <c r="C920" s="221"/>
      <c r="D920" s="54"/>
      <c r="E920" s="54" t="s">
        <v>1290</v>
      </c>
      <c r="F920" s="16">
        <f>11.49*100/13.99</f>
        <v>82.130092923516798</v>
      </c>
      <c r="G920" s="8">
        <f>1.27*100/13.99</f>
        <v>9.0779127948534661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f>0.23*100/13.99</f>
        <v>1.6440314510364546</v>
      </c>
      <c r="Q920" s="8">
        <v>0</v>
      </c>
      <c r="R920" s="8">
        <v>0</v>
      </c>
      <c r="S920" s="17">
        <v>0</v>
      </c>
      <c r="T920" s="8">
        <f>1*100/13.99</f>
        <v>7.147962830593281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14">
        <f t="shared" si="85"/>
        <v>100</v>
      </c>
      <c r="AE920" s="8">
        <v>0</v>
      </c>
      <c r="AF920" s="8">
        <v>0</v>
      </c>
      <c r="AG920" s="8">
        <v>0</v>
      </c>
      <c r="AH920" s="8">
        <v>0</v>
      </c>
      <c r="AI920" s="39" t="s">
        <v>1531</v>
      </c>
      <c r="AJ920" s="7">
        <v>240</v>
      </c>
      <c r="AK920" s="62">
        <v>1323</v>
      </c>
      <c r="AL920" s="158"/>
      <c r="AM920" s="85"/>
      <c r="AN920" s="85"/>
      <c r="AO920" s="85"/>
      <c r="AP920" s="85"/>
      <c r="AQ920" s="85"/>
      <c r="AR920" s="85"/>
      <c r="AS920" s="85"/>
      <c r="AT920" s="205"/>
      <c r="AU920" s="85"/>
      <c r="AV920" s="196"/>
      <c r="AW920" s="85"/>
      <c r="AX920" s="85"/>
      <c r="AY920" s="39">
        <v>1</v>
      </c>
      <c r="AZ920" s="7">
        <v>150</v>
      </c>
      <c r="BA920" s="62">
        <v>2.6</v>
      </c>
      <c r="BB920" s="7"/>
      <c r="BC920" s="7"/>
      <c r="BD920" s="7"/>
      <c r="BE920" s="7"/>
      <c r="BF920" s="39"/>
      <c r="BG920" s="7"/>
      <c r="BH920" s="62"/>
      <c r="BI920" s="7"/>
      <c r="BJ920" s="32">
        <v>1</v>
      </c>
      <c r="BK920" s="54"/>
    </row>
    <row r="921" spans="1:63" ht="23.25" customHeight="1" x14ac:dyDescent="0.2">
      <c r="A921" s="7">
        <v>920</v>
      </c>
      <c r="B921" s="221"/>
      <c r="C921" s="221"/>
      <c r="D921" s="54"/>
      <c r="E921" s="54" t="s">
        <v>1291</v>
      </c>
      <c r="F921" s="16">
        <f>11.66*100/14.01</f>
        <v>83.226266952177014</v>
      </c>
      <c r="G921" s="8">
        <f>1.23*100/14.01</f>
        <v>8.7794432548179877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f>0.12*100/14.01</f>
        <v>0.85653104925053536</v>
      </c>
      <c r="Q921" s="8">
        <v>0</v>
      </c>
      <c r="R921" s="8">
        <v>0</v>
      </c>
      <c r="S921" s="17">
        <v>0</v>
      </c>
      <c r="T921" s="8">
        <f>1*100/14.01</f>
        <v>7.1377587437544614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14">
        <f t="shared" si="85"/>
        <v>100</v>
      </c>
      <c r="AE921" s="8">
        <v>0</v>
      </c>
      <c r="AF921" s="8">
        <v>0</v>
      </c>
      <c r="AG921" s="8">
        <v>0</v>
      </c>
      <c r="AH921" s="8">
        <v>0</v>
      </c>
      <c r="AI921" s="39" t="s">
        <v>1531</v>
      </c>
      <c r="AJ921" s="7">
        <v>240</v>
      </c>
      <c r="AK921" s="62">
        <v>1323</v>
      </c>
      <c r="AL921" s="158"/>
      <c r="AM921" s="85"/>
      <c r="AN921" s="85"/>
      <c r="AO921" s="85"/>
      <c r="AP921" s="85"/>
      <c r="AQ921" s="85"/>
      <c r="AR921" s="85"/>
      <c r="AS921" s="85"/>
      <c r="AT921" s="205"/>
      <c r="AU921" s="85"/>
      <c r="AV921" s="196"/>
      <c r="AW921" s="85"/>
      <c r="AX921" s="85"/>
      <c r="AY921" s="39">
        <v>1</v>
      </c>
      <c r="AZ921" s="7">
        <v>167</v>
      </c>
      <c r="BA921" s="62">
        <v>3.4</v>
      </c>
      <c r="BB921" s="7" t="s">
        <v>1299</v>
      </c>
      <c r="BC921" s="7" t="s">
        <v>1300</v>
      </c>
      <c r="BD921" s="7" t="s">
        <v>1301</v>
      </c>
      <c r="BE921" s="7" t="s">
        <v>1302</v>
      </c>
      <c r="BF921" s="39"/>
      <c r="BG921" s="7"/>
      <c r="BH921" s="62"/>
      <c r="BI921" s="7"/>
      <c r="BJ921" s="32">
        <v>1</v>
      </c>
      <c r="BK921" s="54"/>
    </row>
    <row r="922" spans="1:63" ht="23.25" customHeight="1" x14ac:dyDescent="0.2">
      <c r="A922" s="62">
        <v>921</v>
      </c>
      <c r="B922" s="221"/>
      <c r="C922" s="221"/>
      <c r="D922" s="54"/>
      <c r="E922" s="54" t="s">
        <v>1292</v>
      </c>
      <c r="F922" s="16">
        <f>11.74*100/14</f>
        <v>83.857142857142861</v>
      </c>
      <c r="G922" s="8">
        <f>1.2*100/14</f>
        <v>8.5714285714285712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f>0.06*100/14</f>
        <v>0.42857142857142855</v>
      </c>
      <c r="Q922" s="8">
        <v>0</v>
      </c>
      <c r="R922" s="8">
        <v>0</v>
      </c>
      <c r="S922" s="17">
        <v>0</v>
      </c>
      <c r="T922" s="8">
        <f t="shared" si="93"/>
        <v>7.1428571428571432</v>
      </c>
      <c r="U922" s="8">
        <v>0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14">
        <f t="shared" si="85"/>
        <v>100</v>
      </c>
      <c r="AE922" s="8">
        <v>0</v>
      </c>
      <c r="AF922" s="8">
        <v>0</v>
      </c>
      <c r="AG922" s="8">
        <v>0</v>
      </c>
      <c r="AH922" s="8">
        <v>0</v>
      </c>
      <c r="AI922" s="39" t="s">
        <v>1531</v>
      </c>
      <c r="AJ922" s="7">
        <v>240</v>
      </c>
      <c r="AK922" s="62">
        <v>1323</v>
      </c>
      <c r="AL922" s="158"/>
      <c r="AM922" s="85"/>
      <c r="AN922" s="85"/>
      <c r="AO922" s="85"/>
      <c r="AP922" s="85"/>
      <c r="AQ922" s="85"/>
      <c r="AR922" s="85"/>
      <c r="AS922" s="85"/>
      <c r="AT922" s="205"/>
      <c r="AU922" s="85"/>
      <c r="AV922" s="196"/>
      <c r="AW922" s="85"/>
      <c r="AX922" s="85"/>
      <c r="AY922" s="39">
        <v>1</v>
      </c>
      <c r="AZ922" s="7">
        <v>173</v>
      </c>
      <c r="BA922" s="62">
        <v>4.3</v>
      </c>
      <c r="BB922" s="7"/>
      <c r="BC922" s="7"/>
      <c r="BD922" s="7"/>
      <c r="BE922" s="7"/>
      <c r="BF922" s="39"/>
      <c r="BG922" s="7"/>
      <c r="BH922" s="62"/>
      <c r="BI922" s="7"/>
      <c r="BJ922" s="32">
        <v>1</v>
      </c>
      <c r="BK922" s="54"/>
    </row>
    <row r="923" spans="1:63" ht="23.25" customHeight="1" x14ac:dyDescent="0.2">
      <c r="A923" s="7">
        <v>922</v>
      </c>
      <c r="B923" s="221"/>
      <c r="C923" s="221"/>
      <c r="D923" s="54"/>
      <c r="E923" s="54" t="s">
        <v>1293</v>
      </c>
      <c r="F923" s="16">
        <f>11.22*100/14</f>
        <v>80.142857142857139</v>
      </c>
      <c r="G923" s="8">
        <f>1.32*100/14</f>
        <v>9.4285714285714288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f>0.46*100/14</f>
        <v>3.2857142857142856</v>
      </c>
      <c r="Q923" s="8">
        <v>0</v>
      </c>
      <c r="R923" s="8">
        <v>0</v>
      </c>
      <c r="S923" s="17">
        <v>0</v>
      </c>
      <c r="T923" s="8">
        <f>1*100/14</f>
        <v>7.1428571428571432</v>
      </c>
      <c r="U923" s="8">
        <v>0</v>
      </c>
      <c r="V923" s="8">
        <v>0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14">
        <f t="shared" si="85"/>
        <v>100</v>
      </c>
      <c r="AE923" s="8">
        <f>1.65/14*100</f>
        <v>11.785714285714285</v>
      </c>
      <c r="AF923" s="8">
        <v>0</v>
      </c>
      <c r="AG923" s="8">
        <v>0</v>
      </c>
      <c r="AH923" s="8">
        <v>0</v>
      </c>
      <c r="AI923" s="39" t="s">
        <v>1531</v>
      </c>
      <c r="AJ923" s="7">
        <v>240</v>
      </c>
      <c r="AK923" s="62">
        <v>1323</v>
      </c>
      <c r="AL923" s="158"/>
      <c r="AM923" s="85"/>
      <c r="AN923" s="85"/>
      <c r="AO923" s="85"/>
      <c r="AP923" s="85"/>
      <c r="AQ923" s="85"/>
      <c r="AR923" s="85"/>
      <c r="AS923" s="85"/>
      <c r="AT923" s="205"/>
      <c r="AU923" s="85"/>
      <c r="AV923" s="196"/>
      <c r="AW923" s="85"/>
      <c r="AX923" s="85"/>
      <c r="AY923" s="39">
        <v>1</v>
      </c>
      <c r="AZ923" s="7">
        <v>270</v>
      </c>
      <c r="BA923" s="62">
        <v>2.2999999999999998</v>
      </c>
      <c r="BB923" s="7"/>
      <c r="BC923" s="7"/>
      <c r="BD923" s="7"/>
      <c r="BE923" s="7"/>
      <c r="BF923" s="39"/>
      <c r="BG923" s="7"/>
      <c r="BH923" s="62"/>
      <c r="BI923" s="7"/>
      <c r="BJ923" s="32">
        <v>1</v>
      </c>
      <c r="BK923" s="54"/>
    </row>
    <row r="924" spans="1:63" ht="23.25" customHeight="1" x14ac:dyDescent="0.2">
      <c r="A924" s="62">
        <v>923</v>
      </c>
      <c r="B924" s="221"/>
      <c r="C924" s="221"/>
      <c r="D924" s="54"/>
      <c r="E924" s="54" t="s">
        <v>1294</v>
      </c>
      <c r="F924" s="16">
        <f>11.33*100/14</f>
        <v>80.928571428571431</v>
      </c>
      <c r="G924" s="8">
        <f>1.3*100/14</f>
        <v>9.2857142857142865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f>0.37*100/14</f>
        <v>2.6428571428571428</v>
      </c>
      <c r="Q924" s="8">
        <v>0</v>
      </c>
      <c r="R924" s="8">
        <v>0</v>
      </c>
      <c r="S924" s="17">
        <v>0</v>
      </c>
      <c r="T924" s="8">
        <f t="shared" si="93"/>
        <v>7.1428571428571432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14">
        <f t="shared" si="85"/>
        <v>100</v>
      </c>
      <c r="AE924" s="8">
        <f>1.65/14*100</f>
        <v>11.785714285714285</v>
      </c>
      <c r="AF924" s="8">
        <v>0</v>
      </c>
      <c r="AG924" s="8">
        <v>0</v>
      </c>
      <c r="AH924" s="8">
        <v>0</v>
      </c>
      <c r="AI924" s="39" t="s">
        <v>1531</v>
      </c>
      <c r="AJ924" s="7">
        <v>240</v>
      </c>
      <c r="AK924" s="62">
        <v>1323</v>
      </c>
      <c r="AL924" s="158"/>
      <c r="AM924" s="85"/>
      <c r="AN924" s="85"/>
      <c r="AO924" s="85"/>
      <c r="AP924" s="85"/>
      <c r="AQ924" s="85"/>
      <c r="AR924" s="85"/>
      <c r="AS924" s="85"/>
      <c r="AT924" s="205"/>
      <c r="AU924" s="85"/>
      <c r="AV924" s="196"/>
      <c r="AW924" s="85"/>
      <c r="AX924" s="85"/>
      <c r="AY924" s="39">
        <v>1</v>
      </c>
      <c r="AZ924" s="7">
        <v>285</v>
      </c>
      <c r="BA924" s="62">
        <v>2</v>
      </c>
      <c r="BB924" s="7" t="s">
        <v>1299</v>
      </c>
      <c r="BC924" s="7" t="s">
        <v>1309</v>
      </c>
      <c r="BD924" s="7" t="s">
        <v>1310</v>
      </c>
      <c r="BE924" s="7" t="s">
        <v>1311</v>
      </c>
      <c r="BF924" s="39"/>
      <c r="BG924" s="7"/>
      <c r="BH924" s="62"/>
      <c r="BI924" s="7"/>
      <c r="BJ924" s="32">
        <v>1</v>
      </c>
      <c r="BK924" s="54"/>
    </row>
    <row r="925" spans="1:63" ht="23.25" customHeight="1" x14ac:dyDescent="0.2">
      <c r="A925" s="7">
        <v>924</v>
      </c>
      <c r="B925" s="221"/>
      <c r="C925" s="221"/>
      <c r="D925" s="54"/>
      <c r="E925" s="54" t="s">
        <v>1295</v>
      </c>
      <c r="F925" s="16">
        <f>11.41*100/14</f>
        <v>81.5</v>
      </c>
      <c r="G925" s="8">
        <f>1.29*100/14</f>
        <v>9.2142857142857135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f>0.3*100/14</f>
        <v>2.1428571428571428</v>
      </c>
      <c r="Q925" s="8">
        <v>0</v>
      </c>
      <c r="R925" s="8">
        <v>0</v>
      </c>
      <c r="S925" s="17">
        <v>0</v>
      </c>
      <c r="T925" s="8">
        <f t="shared" si="93"/>
        <v>7.1428571428571432</v>
      </c>
      <c r="U925" s="8">
        <v>0</v>
      </c>
      <c r="V925" s="8">
        <v>0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  <c r="AB925" s="8">
        <v>0</v>
      </c>
      <c r="AC925" s="8">
        <v>0</v>
      </c>
      <c r="AD925" s="14">
        <f t="shared" si="85"/>
        <v>99.999999999999986</v>
      </c>
      <c r="AE925" s="8">
        <f>1.65/14*100</f>
        <v>11.785714285714285</v>
      </c>
      <c r="AF925" s="8">
        <v>0</v>
      </c>
      <c r="AG925" s="8">
        <v>0</v>
      </c>
      <c r="AH925" s="8">
        <v>0</v>
      </c>
      <c r="AI925" s="39" t="s">
        <v>1531</v>
      </c>
      <c r="AJ925" s="7">
        <v>240</v>
      </c>
      <c r="AK925" s="62">
        <v>1323</v>
      </c>
      <c r="AL925" s="158"/>
      <c r="AM925" s="85"/>
      <c r="AN925" s="85"/>
      <c r="AO925" s="85"/>
      <c r="AP925" s="85"/>
      <c r="AQ925" s="85"/>
      <c r="AR925" s="85"/>
      <c r="AS925" s="85"/>
      <c r="AT925" s="205"/>
      <c r="AU925" s="85"/>
      <c r="AV925" s="196"/>
      <c r="AW925" s="85"/>
      <c r="AX925" s="85"/>
      <c r="AY925" s="39">
        <v>1</v>
      </c>
      <c r="AZ925" s="7">
        <v>295</v>
      </c>
      <c r="BA925" s="62">
        <v>2.6</v>
      </c>
      <c r="BB925" s="7"/>
      <c r="BC925" s="7"/>
      <c r="BD925" s="7"/>
      <c r="BE925" s="7"/>
      <c r="BF925" s="39"/>
      <c r="BG925" s="7"/>
      <c r="BH925" s="62"/>
      <c r="BI925" s="7"/>
      <c r="BJ925" s="32">
        <v>1</v>
      </c>
      <c r="BK925" s="54"/>
    </row>
    <row r="926" spans="1:63" ht="23.25" customHeight="1" x14ac:dyDescent="0.2">
      <c r="A926" s="62">
        <v>925</v>
      </c>
      <c r="B926" s="221"/>
      <c r="C926" s="221"/>
      <c r="D926" s="54"/>
      <c r="E926" s="54" t="s">
        <v>1296</v>
      </c>
      <c r="F926" s="16">
        <f>11.54*100/13.98</f>
        <v>82.546494992846917</v>
      </c>
      <c r="G926" s="8">
        <f>1.22*100/13.98</f>
        <v>8.7267525035765381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f>0.22*100/13.98</f>
        <v>1.5736766809728182</v>
      </c>
      <c r="Q926" s="8">
        <v>0</v>
      </c>
      <c r="R926" s="8">
        <v>0</v>
      </c>
      <c r="S926" s="17">
        <v>0</v>
      </c>
      <c r="T926" s="8">
        <f>1*100/13.98</f>
        <v>7.1530758226037197</v>
      </c>
      <c r="U926" s="8">
        <v>0</v>
      </c>
      <c r="V926" s="8">
        <v>0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>
        <v>0</v>
      </c>
      <c r="AC926" s="8">
        <v>0</v>
      </c>
      <c r="AD926" s="14">
        <f t="shared" si="85"/>
        <v>100</v>
      </c>
      <c r="AE926" s="8">
        <f>1.65/13.98*100</f>
        <v>11.802575107296136</v>
      </c>
      <c r="AF926" s="8">
        <v>0</v>
      </c>
      <c r="AG926" s="8">
        <v>0</v>
      </c>
      <c r="AH926" s="8">
        <v>0</v>
      </c>
      <c r="AI926" s="39" t="s">
        <v>1531</v>
      </c>
      <c r="AJ926" s="7">
        <v>240</v>
      </c>
      <c r="AK926" s="62">
        <v>1323</v>
      </c>
      <c r="AL926" s="158"/>
      <c r="AM926" s="85"/>
      <c r="AN926" s="85"/>
      <c r="AO926" s="85"/>
      <c r="AP926" s="85"/>
      <c r="AQ926" s="85"/>
      <c r="AR926" s="85"/>
      <c r="AS926" s="85"/>
      <c r="AT926" s="205"/>
      <c r="AU926" s="85"/>
      <c r="AV926" s="196"/>
      <c r="AW926" s="85"/>
      <c r="AX926" s="85"/>
      <c r="AY926" s="39">
        <v>1</v>
      </c>
      <c r="AZ926" s="7">
        <v>310</v>
      </c>
      <c r="BA926" s="62">
        <v>2.6</v>
      </c>
      <c r="BB926" s="7"/>
      <c r="BC926" s="7"/>
      <c r="BD926" s="7"/>
      <c r="BE926" s="7"/>
      <c r="BF926" s="39"/>
      <c r="BG926" s="7"/>
      <c r="BH926" s="62"/>
      <c r="BI926" s="7"/>
      <c r="BJ926" s="32">
        <v>1</v>
      </c>
      <c r="BK926" s="54"/>
    </row>
    <row r="927" spans="1:63" ht="23.25" customHeight="1" x14ac:dyDescent="0.2">
      <c r="A927" s="7">
        <v>926</v>
      </c>
      <c r="B927" s="221"/>
      <c r="C927" s="221"/>
      <c r="D927" s="54"/>
      <c r="E927" s="54" t="s">
        <v>1297</v>
      </c>
      <c r="F927" s="16">
        <f>11.62*100/13.97</f>
        <v>83.178239083750896</v>
      </c>
      <c r="G927" s="8">
        <f>1.2*100/13.97</f>
        <v>8.5898353614889036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f>0.15*100/13.97</f>
        <v>1.0737294201861129</v>
      </c>
      <c r="Q927" s="8">
        <v>0</v>
      </c>
      <c r="R927" s="8">
        <v>0</v>
      </c>
      <c r="S927" s="17">
        <v>0</v>
      </c>
      <c r="T927" s="8">
        <f>1*100/13.97</f>
        <v>7.1581961345740872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14">
        <f t="shared" si="85"/>
        <v>100</v>
      </c>
      <c r="AE927" s="8">
        <f>1.65/13.97*100</f>
        <v>11.811023622047243</v>
      </c>
      <c r="AF927" s="8">
        <v>0</v>
      </c>
      <c r="AG927" s="8">
        <v>0</v>
      </c>
      <c r="AH927" s="8">
        <v>0</v>
      </c>
      <c r="AI927" s="39" t="s">
        <v>1531</v>
      </c>
      <c r="AJ927" s="7">
        <v>240</v>
      </c>
      <c r="AK927" s="62">
        <v>1323</v>
      </c>
      <c r="AL927" s="158"/>
      <c r="AM927" s="85"/>
      <c r="AN927" s="85"/>
      <c r="AO927" s="85"/>
      <c r="AP927" s="85"/>
      <c r="AQ927" s="85"/>
      <c r="AR927" s="85"/>
      <c r="AS927" s="85"/>
      <c r="AT927" s="205"/>
      <c r="AU927" s="85"/>
      <c r="AV927" s="196"/>
      <c r="AW927" s="85"/>
      <c r="AX927" s="85"/>
      <c r="AY927" s="39">
        <v>1</v>
      </c>
      <c r="AZ927" s="7">
        <v>319</v>
      </c>
      <c r="BA927" s="62">
        <v>2.6</v>
      </c>
      <c r="BB927" s="7"/>
      <c r="BC927" s="7"/>
      <c r="BD927" s="7"/>
      <c r="BE927" s="7"/>
      <c r="BF927" s="39"/>
      <c r="BG927" s="7"/>
      <c r="BH927" s="62"/>
      <c r="BI927" s="7"/>
      <c r="BJ927" s="32">
        <v>1</v>
      </c>
      <c r="BK927" s="54"/>
    </row>
    <row r="928" spans="1:63" s="6" customFormat="1" ht="23.25" customHeight="1" thickBot="1" x14ac:dyDescent="0.25">
      <c r="A928" s="62">
        <v>927</v>
      </c>
      <c r="B928" s="222"/>
      <c r="C928" s="222"/>
      <c r="D928" s="13"/>
      <c r="E928" s="13" t="s">
        <v>1298</v>
      </c>
      <c r="F928" s="80">
        <f>11.76*100/14</f>
        <v>84</v>
      </c>
      <c r="G928" s="81">
        <f>1.18*100/14</f>
        <v>8.4285714285714288</v>
      </c>
      <c r="H928" s="81">
        <v>0</v>
      </c>
      <c r="I928" s="81">
        <v>0</v>
      </c>
      <c r="J928" s="81">
        <v>0</v>
      </c>
      <c r="K928" s="81">
        <v>0</v>
      </c>
      <c r="L928" s="81">
        <v>0</v>
      </c>
      <c r="M928" s="81">
        <v>0</v>
      </c>
      <c r="N928" s="81">
        <v>0</v>
      </c>
      <c r="O928" s="81">
        <v>0</v>
      </c>
      <c r="P928" s="81">
        <f>0.06*100/14</f>
        <v>0.42857142857142855</v>
      </c>
      <c r="Q928" s="81">
        <v>0</v>
      </c>
      <c r="R928" s="81">
        <v>0</v>
      </c>
      <c r="S928" s="82">
        <v>0</v>
      </c>
      <c r="T928" s="81">
        <f>1*100/14</f>
        <v>7.1428571428571432</v>
      </c>
      <c r="U928" s="81">
        <v>0</v>
      </c>
      <c r="V928" s="81">
        <v>0</v>
      </c>
      <c r="W928" s="81">
        <v>0</v>
      </c>
      <c r="X928" s="81">
        <v>0</v>
      </c>
      <c r="Y928" s="81">
        <v>0</v>
      </c>
      <c r="Z928" s="81">
        <v>0</v>
      </c>
      <c r="AA928" s="81">
        <v>0</v>
      </c>
      <c r="AB928" s="81">
        <v>0</v>
      </c>
      <c r="AC928" s="81">
        <v>0</v>
      </c>
      <c r="AD928" s="83">
        <f t="shared" si="85"/>
        <v>100</v>
      </c>
      <c r="AE928" s="81">
        <f>1.65/14*100</f>
        <v>11.785714285714285</v>
      </c>
      <c r="AF928" s="81">
        <v>0</v>
      </c>
      <c r="AG928" s="81">
        <v>0</v>
      </c>
      <c r="AH928" s="81">
        <v>0</v>
      </c>
      <c r="AI928" s="79" t="s">
        <v>1531</v>
      </c>
      <c r="AJ928" s="65">
        <v>240</v>
      </c>
      <c r="AK928" s="78">
        <v>1323</v>
      </c>
      <c r="AL928" s="200"/>
      <c r="AM928" s="190"/>
      <c r="AN928" s="190"/>
      <c r="AO928" s="190"/>
      <c r="AP928" s="190"/>
      <c r="AQ928" s="190"/>
      <c r="AR928" s="190"/>
      <c r="AS928" s="190"/>
      <c r="AT928" s="201"/>
      <c r="AU928" s="190"/>
      <c r="AV928" s="202"/>
      <c r="AW928" s="190"/>
      <c r="AX928" s="190"/>
      <c r="AY928" s="79">
        <v>1</v>
      </c>
      <c r="AZ928" s="65">
        <v>339</v>
      </c>
      <c r="BA928" s="78">
        <v>3.4</v>
      </c>
      <c r="BB928" s="65"/>
      <c r="BC928" s="65"/>
      <c r="BD928" s="65"/>
      <c r="BE928" s="65"/>
      <c r="BF928" s="79"/>
      <c r="BG928" s="65"/>
      <c r="BH928" s="78"/>
      <c r="BI928" s="65"/>
      <c r="BJ928" s="68">
        <v>1</v>
      </c>
      <c r="BK928" s="13"/>
    </row>
    <row r="929" spans="1:63" ht="23.25" customHeight="1" thickBot="1" x14ac:dyDescent="0.25">
      <c r="A929" s="7">
        <v>928</v>
      </c>
      <c r="B929" s="110">
        <v>998</v>
      </c>
      <c r="C929" s="110" t="s">
        <v>1614</v>
      </c>
      <c r="D929" s="54"/>
      <c r="E929" s="54" t="s">
        <v>1291</v>
      </c>
      <c r="F929" s="16">
        <f>11.58*100/14.01</f>
        <v>82.655246252676662</v>
      </c>
      <c r="G929" s="8">
        <f>1.25*100/14.01</f>
        <v>8.9221984296930756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f>0.18*100/14.01</f>
        <v>1.2847965738758029</v>
      </c>
      <c r="Q929" s="8">
        <v>0</v>
      </c>
      <c r="R929" s="8">
        <v>0</v>
      </c>
      <c r="S929" s="17">
        <v>0</v>
      </c>
      <c r="T929" s="8">
        <f>1*100/14.01</f>
        <v>7.1377587437544614</v>
      </c>
      <c r="U929" s="8">
        <v>0</v>
      </c>
      <c r="V929" s="8">
        <v>0</v>
      </c>
      <c r="W929" s="8">
        <v>0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14">
        <f t="shared" si="85"/>
        <v>100</v>
      </c>
      <c r="AE929" s="8">
        <v>0</v>
      </c>
      <c r="AF929" s="8">
        <v>0</v>
      </c>
      <c r="AG929" s="8">
        <v>0</v>
      </c>
      <c r="AH929" s="8">
        <v>0</v>
      </c>
      <c r="AI929" s="39" t="s">
        <v>1531</v>
      </c>
      <c r="AJ929" s="7">
        <v>240</v>
      </c>
      <c r="AK929" s="62">
        <v>1323</v>
      </c>
      <c r="AL929" s="158"/>
      <c r="AM929" s="85"/>
      <c r="AN929" s="85"/>
      <c r="AO929" s="85"/>
      <c r="AP929" s="85"/>
      <c r="AQ929" s="85"/>
      <c r="AR929" s="85"/>
      <c r="AS929" s="85"/>
      <c r="AT929" s="205"/>
      <c r="AU929" s="85"/>
      <c r="AV929" s="196"/>
      <c r="AW929" s="85"/>
      <c r="AX929" s="85"/>
      <c r="AY929" s="39"/>
      <c r="AZ929" s="7">
        <v>158</v>
      </c>
      <c r="BA929" s="62"/>
      <c r="BB929" s="7" t="s">
        <v>1299</v>
      </c>
      <c r="BC929" s="7" t="s">
        <v>1304</v>
      </c>
      <c r="BD929" s="7" t="s">
        <v>1303</v>
      </c>
      <c r="BE929" s="7" t="s">
        <v>1305</v>
      </c>
      <c r="BF929" s="39"/>
      <c r="BG929" s="7"/>
      <c r="BH929" s="62"/>
      <c r="BI929" s="7"/>
      <c r="BJ929" s="32">
        <v>1</v>
      </c>
      <c r="BK929" s="54"/>
    </row>
    <row r="930" spans="1:63" s="4" customFormat="1" ht="23.25" customHeight="1" x14ac:dyDescent="0.2">
      <c r="A930" s="62">
        <v>929</v>
      </c>
      <c r="B930" s="218">
        <v>999</v>
      </c>
      <c r="C930" s="218" t="s">
        <v>1615</v>
      </c>
      <c r="D930" s="12" t="s">
        <v>1312</v>
      </c>
      <c r="E930" s="12"/>
      <c r="F930" s="87">
        <f>11.57*100/14</f>
        <v>82.642857142857139</v>
      </c>
      <c r="G930" s="88">
        <f>1.43*100/14</f>
        <v>10.214285714285714</v>
      </c>
      <c r="H930" s="88">
        <v>0</v>
      </c>
      <c r="I930" s="88">
        <v>0</v>
      </c>
      <c r="J930" s="88">
        <v>0</v>
      </c>
      <c r="K930" s="88">
        <v>0</v>
      </c>
      <c r="L930" s="88">
        <v>0</v>
      </c>
      <c r="M930" s="88">
        <v>0</v>
      </c>
      <c r="N930" s="88">
        <v>0</v>
      </c>
      <c r="O930" s="88">
        <v>0</v>
      </c>
      <c r="P930" s="88">
        <v>0</v>
      </c>
      <c r="Q930" s="88">
        <v>0</v>
      </c>
      <c r="R930" s="88">
        <v>0</v>
      </c>
      <c r="S930" s="89">
        <v>0</v>
      </c>
      <c r="T930" s="88">
        <f>1*100/14</f>
        <v>7.1428571428571432</v>
      </c>
      <c r="U930" s="88">
        <v>0</v>
      </c>
      <c r="V930" s="88">
        <v>0</v>
      </c>
      <c r="W930" s="88">
        <v>0</v>
      </c>
      <c r="X930" s="88">
        <v>0</v>
      </c>
      <c r="Y930" s="88">
        <v>0</v>
      </c>
      <c r="Z930" s="88">
        <v>0</v>
      </c>
      <c r="AA930" s="88">
        <v>0</v>
      </c>
      <c r="AB930" s="88">
        <v>0</v>
      </c>
      <c r="AC930" s="88">
        <v>0</v>
      </c>
      <c r="AD930" s="90">
        <f t="shared" si="85"/>
        <v>99.999999999999986</v>
      </c>
      <c r="AE930" s="88">
        <v>0</v>
      </c>
      <c r="AF930" s="88">
        <v>0</v>
      </c>
      <c r="AG930" s="88">
        <v>0</v>
      </c>
      <c r="AH930" s="88">
        <v>0</v>
      </c>
      <c r="AI930" s="156" t="s">
        <v>1529</v>
      </c>
      <c r="AJ930" s="45">
        <v>1</v>
      </c>
      <c r="AK930" s="91">
        <v>1323</v>
      </c>
      <c r="AL930" s="197"/>
      <c r="AM930" s="189"/>
      <c r="AN930" s="189"/>
      <c r="AO930" s="189"/>
      <c r="AP930" s="189"/>
      <c r="AQ930" s="189"/>
      <c r="AR930" s="189"/>
      <c r="AS930" s="189"/>
      <c r="AT930" s="198"/>
      <c r="AU930" s="189"/>
      <c r="AV930" s="199"/>
      <c r="AW930" s="189"/>
      <c r="AX930" s="189"/>
      <c r="AY930" s="156">
        <v>0.01</v>
      </c>
      <c r="AZ930" s="45">
        <v>202</v>
      </c>
      <c r="BA930" s="91"/>
      <c r="BB930" s="45" t="s">
        <v>523</v>
      </c>
      <c r="BC930" s="45" t="s">
        <v>1508</v>
      </c>
      <c r="BD930" s="45" t="s">
        <v>1314</v>
      </c>
      <c r="BE930" s="45" t="s">
        <v>1315</v>
      </c>
      <c r="BF930" s="156"/>
      <c r="BG930" s="45"/>
      <c r="BH930" s="91"/>
      <c r="BI930" s="45"/>
      <c r="BJ930" s="67">
        <v>1</v>
      </c>
      <c r="BK930" s="12"/>
    </row>
    <row r="931" spans="1:63" s="6" customFormat="1" ht="23.25" customHeight="1" thickBot="1" x14ac:dyDescent="0.25">
      <c r="A931" s="7">
        <v>930</v>
      </c>
      <c r="B931" s="222"/>
      <c r="C931" s="222"/>
      <c r="D931" s="13" t="s">
        <v>1313</v>
      </c>
      <c r="E931" s="13"/>
      <c r="F931" s="80">
        <f>11.57*100/14</f>
        <v>82.642857142857139</v>
      </c>
      <c r="G931" s="81">
        <f>1.43*100/14</f>
        <v>10.214285714285714</v>
      </c>
      <c r="H931" s="81">
        <v>0</v>
      </c>
      <c r="I931" s="81">
        <v>0</v>
      </c>
      <c r="J931" s="81">
        <v>0</v>
      </c>
      <c r="K931" s="81">
        <v>0</v>
      </c>
      <c r="L931" s="81">
        <v>0</v>
      </c>
      <c r="M931" s="81">
        <v>0</v>
      </c>
      <c r="N931" s="81">
        <v>0</v>
      </c>
      <c r="O931" s="81">
        <v>0</v>
      </c>
      <c r="P931" s="81">
        <v>0</v>
      </c>
      <c r="Q931" s="81">
        <v>0</v>
      </c>
      <c r="R931" s="81">
        <v>0</v>
      </c>
      <c r="S931" s="82">
        <v>0</v>
      </c>
      <c r="T931" s="81">
        <f>1*100/14</f>
        <v>7.1428571428571432</v>
      </c>
      <c r="U931" s="81">
        <v>0</v>
      </c>
      <c r="V931" s="81">
        <v>0</v>
      </c>
      <c r="W931" s="81">
        <v>0</v>
      </c>
      <c r="X931" s="81">
        <v>0</v>
      </c>
      <c r="Y931" s="81">
        <v>0</v>
      </c>
      <c r="Z931" s="81">
        <v>0</v>
      </c>
      <c r="AA931" s="81">
        <v>0</v>
      </c>
      <c r="AB931" s="81">
        <v>0</v>
      </c>
      <c r="AC931" s="81">
        <v>0</v>
      </c>
      <c r="AD931" s="83">
        <f t="shared" si="85"/>
        <v>99.999999999999986</v>
      </c>
      <c r="AE931" s="81">
        <f>1.64*100/14</f>
        <v>11.714285714285714</v>
      </c>
      <c r="AF931" s="81">
        <v>0</v>
      </c>
      <c r="AG931" s="81">
        <v>0</v>
      </c>
      <c r="AH931" s="81">
        <v>0</v>
      </c>
      <c r="AI931" s="79" t="s">
        <v>1529</v>
      </c>
      <c r="AJ931" s="65">
        <v>1</v>
      </c>
      <c r="AK931" s="78">
        <v>1323</v>
      </c>
      <c r="AL931" s="200"/>
      <c r="AM931" s="190"/>
      <c r="AN931" s="190"/>
      <c r="AO931" s="190"/>
      <c r="AP931" s="190"/>
      <c r="AQ931" s="190"/>
      <c r="AR931" s="190"/>
      <c r="AS931" s="190"/>
      <c r="AT931" s="201"/>
      <c r="AU931" s="190"/>
      <c r="AV931" s="202"/>
      <c r="AW931" s="190"/>
      <c r="AX931" s="190"/>
      <c r="AY931" s="79">
        <v>0.01</v>
      </c>
      <c r="AZ931" s="65">
        <v>329</v>
      </c>
      <c r="BA931" s="78"/>
      <c r="BB931" s="65" t="s">
        <v>523</v>
      </c>
      <c r="BC931" s="65" t="s">
        <v>1507</v>
      </c>
      <c r="BD931" s="65" t="s">
        <v>1316</v>
      </c>
      <c r="BE931" s="65" t="s">
        <v>1317</v>
      </c>
      <c r="BF931" s="79"/>
      <c r="BG931" s="65"/>
      <c r="BH931" s="78"/>
      <c r="BI931" s="65"/>
      <c r="BJ931" s="68">
        <v>1</v>
      </c>
      <c r="BK931" s="13"/>
    </row>
    <row r="932" spans="1:63" ht="23.25" customHeight="1" thickBot="1" x14ac:dyDescent="0.25">
      <c r="A932" s="62">
        <v>931</v>
      </c>
      <c r="B932" s="110">
        <v>1000</v>
      </c>
      <c r="C932" s="110" t="s">
        <v>1616</v>
      </c>
      <c r="D932" s="54"/>
      <c r="E932" s="54" t="s">
        <v>1673</v>
      </c>
      <c r="F932" s="16">
        <f>0.87*13/14*100</f>
        <v>80.785714285714292</v>
      </c>
      <c r="G932" s="8">
        <f>(1 - 0.87)*13/14*100</f>
        <v>12.071428571428571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17">
        <v>0</v>
      </c>
      <c r="T932" s="8">
        <v>7.14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14">
        <f t="shared" si="85"/>
        <v>99.997142857142862</v>
      </c>
      <c r="AE932" s="8">
        <v>0</v>
      </c>
      <c r="AF932" s="8">
        <v>0</v>
      </c>
      <c r="AG932" s="8">
        <v>0</v>
      </c>
      <c r="AH932" s="8">
        <v>0</v>
      </c>
      <c r="AI932" s="39" t="s">
        <v>1531</v>
      </c>
      <c r="AJ932" s="7">
        <v>240</v>
      </c>
      <c r="AK932" s="62">
        <v>1323</v>
      </c>
      <c r="AL932" s="204"/>
      <c r="AM932" s="85"/>
      <c r="AN932" s="85"/>
      <c r="AO932" s="85"/>
      <c r="AP932" s="85"/>
      <c r="AQ932" s="85"/>
      <c r="AR932" s="85"/>
      <c r="AS932" s="85"/>
      <c r="AT932" s="205"/>
      <c r="AU932" s="85"/>
      <c r="AV932" s="196"/>
      <c r="AW932" s="85"/>
      <c r="AX932" s="85"/>
      <c r="AY932" s="39">
        <v>0.02</v>
      </c>
      <c r="AZ932" s="7">
        <v>208</v>
      </c>
      <c r="BA932" s="62"/>
      <c r="BB932" s="7">
        <v>2</v>
      </c>
      <c r="BC932" s="7">
        <v>14.7</v>
      </c>
      <c r="BD932" s="7"/>
      <c r="BE932" s="7">
        <v>9.6999999999999993</v>
      </c>
      <c r="BF932" s="39"/>
      <c r="BG932" s="7"/>
      <c r="BH932" s="62"/>
      <c r="BI932" s="7"/>
      <c r="BJ932" s="32">
        <v>1</v>
      </c>
      <c r="BK932" s="54"/>
    </row>
    <row r="933" spans="1:63" s="19" customFormat="1" ht="23.25" customHeight="1" thickBot="1" x14ac:dyDescent="0.25">
      <c r="A933" s="7">
        <v>932</v>
      </c>
      <c r="B933" s="108">
        <v>1001</v>
      </c>
      <c r="C933" s="108" t="s">
        <v>1617</v>
      </c>
      <c r="D933" s="21" t="s">
        <v>28</v>
      </c>
      <c r="E933" s="21"/>
      <c r="F933" s="99">
        <f>0.88*13*100/14</f>
        <v>81.714285714285708</v>
      </c>
      <c r="G933" s="100">
        <f>0.12*13*100/14</f>
        <v>11.142857142857142</v>
      </c>
      <c r="H933" s="100">
        <v>0</v>
      </c>
      <c r="I933" s="100">
        <v>0</v>
      </c>
      <c r="J933" s="100">
        <v>0</v>
      </c>
      <c r="K933" s="100">
        <v>0</v>
      </c>
      <c r="L933" s="100">
        <v>0</v>
      </c>
      <c r="M933" s="100">
        <v>0</v>
      </c>
      <c r="N933" s="100">
        <v>0</v>
      </c>
      <c r="O933" s="100">
        <v>0</v>
      </c>
      <c r="P933" s="100">
        <v>0</v>
      </c>
      <c r="Q933" s="100">
        <v>0</v>
      </c>
      <c r="R933" s="100">
        <v>0</v>
      </c>
      <c r="S933" s="101">
        <v>0</v>
      </c>
      <c r="T933" s="100">
        <f>1*100/14</f>
        <v>7.1428571428571432</v>
      </c>
      <c r="U933" s="100">
        <v>0</v>
      </c>
      <c r="V933" s="100">
        <v>0</v>
      </c>
      <c r="W933" s="100">
        <v>0</v>
      </c>
      <c r="X933" s="100">
        <v>0</v>
      </c>
      <c r="Y933" s="100">
        <v>0</v>
      </c>
      <c r="Z933" s="100">
        <v>0</v>
      </c>
      <c r="AA933" s="100">
        <v>0</v>
      </c>
      <c r="AB933" s="100">
        <v>0</v>
      </c>
      <c r="AC933" s="100">
        <v>0</v>
      </c>
      <c r="AD933" s="102">
        <f t="shared" si="85"/>
        <v>99.999999999999986</v>
      </c>
      <c r="AE933" s="100">
        <v>0</v>
      </c>
      <c r="AF933" s="100">
        <v>0</v>
      </c>
      <c r="AG933" s="100">
        <v>0</v>
      </c>
      <c r="AH933" s="100">
        <v>0</v>
      </c>
      <c r="AI933" s="120" t="s">
        <v>1527</v>
      </c>
      <c r="AJ933" s="98">
        <v>1</v>
      </c>
      <c r="AK933" s="105">
        <v>1323</v>
      </c>
      <c r="AL933" s="206"/>
      <c r="AM933" s="194"/>
      <c r="AN933" s="194"/>
      <c r="AO933" s="194"/>
      <c r="AP933" s="194"/>
      <c r="AQ933" s="194"/>
      <c r="AR933" s="194"/>
      <c r="AS933" s="194"/>
      <c r="AT933" s="207"/>
      <c r="AU933" s="194"/>
      <c r="AV933" s="208"/>
      <c r="AW933" s="194"/>
      <c r="AX933" s="194"/>
      <c r="AY933" s="120"/>
      <c r="AZ933" s="98">
        <v>189.5</v>
      </c>
      <c r="BA933" s="105"/>
      <c r="BB933" s="98" t="s">
        <v>1318</v>
      </c>
      <c r="BC933" s="98" t="s">
        <v>1319</v>
      </c>
      <c r="BD933" s="98" t="s">
        <v>1321</v>
      </c>
      <c r="BE933" s="98" t="s">
        <v>1320</v>
      </c>
      <c r="BF933" s="120"/>
      <c r="BG933" s="98"/>
      <c r="BH933" s="105"/>
      <c r="BI933" s="98"/>
      <c r="BJ933" s="70">
        <v>1</v>
      </c>
      <c r="BK933" s="21"/>
    </row>
    <row r="934" spans="1:63" ht="23.25" customHeight="1" x14ac:dyDescent="0.2">
      <c r="A934" s="62">
        <v>933</v>
      </c>
      <c r="B934" s="218">
        <v>1002</v>
      </c>
      <c r="C934" s="218" t="s">
        <v>1618</v>
      </c>
      <c r="D934" s="54" t="s">
        <v>1322</v>
      </c>
      <c r="E934" s="54"/>
      <c r="F934" s="16">
        <f>11.4*100/14</f>
        <v>81.428571428571431</v>
      </c>
      <c r="G934" s="8">
        <f>1.6*100/14</f>
        <v>11.428571428571429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17">
        <v>0</v>
      </c>
      <c r="T934" s="8">
        <f>0.5*100/14</f>
        <v>3.5714285714285716</v>
      </c>
      <c r="U934" s="8">
        <v>0</v>
      </c>
      <c r="V934" s="8">
        <v>0</v>
      </c>
      <c r="W934" s="8">
        <f>0.5*100/14</f>
        <v>3.5714285714285716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14">
        <f t="shared" si="85"/>
        <v>100</v>
      </c>
      <c r="AE934" s="8">
        <f>1.33*100/14</f>
        <v>9.5</v>
      </c>
      <c r="AF934" s="8">
        <v>0</v>
      </c>
      <c r="AG934" s="8">
        <v>0</v>
      </c>
      <c r="AH934" s="8">
        <v>0</v>
      </c>
      <c r="AI934" s="39" t="s">
        <v>1529</v>
      </c>
      <c r="AJ934" s="7">
        <v>3</v>
      </c>
      <c r="AK934" s="62">
        <v>1323</v>
      </c>
      <c r="AL934" s="158"/>
      <c r="AM934" s="85"/>
      <c r="AN934" s="85"/>
      <c r="AO934" s="85"/>
      <c r="AP934" s="85"/>
      <c r="AQ934" s="85"/>
      <c r="AR934" s="85"/>
      <c r="AS934" s="85"/>
      <c r="AT934" s="205"/>
      <c r="AU934" s="85"/>
      <c r="AV934" s="196"/>
      <c r="AW934" s="85"/>
      <c r="AX934" s="85"/>
      <c r="AY934" s="39">
        <v>0.01</v>
      </c>
      <c r="AZ934" s="7">
        <v>314</v>
      </c>
      <c r="BA934" s="62"/>
      <c r="BB934" s="7">
        <v>5</v>
      </c>
      <c r="BC934" s="7">
        <v>17.399999999999999</v>
      </c>
      <c r="BD934" s="7">
        <v>317</v>
      </c>
      <c r="BE934" s="7">
        <v>20.399999999999999</v>
      </c>
      <c r="BF934" s="39"/>
      <c r="BG934" s="7"/>
      <c r="BH934" s="62"/>
      <c r="BI934" s="7"/>
      <c r="BJ934" s="32">
        <v>1</v>
      </c>
      <c r="BK934" s="54"/>
    </row>
    <row r="935" spans="1:63" ht="23.25" customHeight="1" x14ac:dyDescent="0.2">
      <c r="A935" s="7">
        <v>934</v>
      </c>
      <c r="B935" s="219"/>
      <c r="C935" s="219"/>
      <c r="D935" s="54" t="s">
        <v>1323</v>
      </c>
      <c r="E935" s="54"/>
      <c r="F935" s="16">
        <f>11.4*100/14.1</f>
        <v>80.851063829787236</v>
      </c>
      <c r="G935" s="8">
        <f>1.6*100/14.1</f>
        <v>11.347517730496454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17">
        <v>0</v>
      </c>
      <c r="T935" s="8">
        <f>0.6*100/14.1</f>
        <v>4.2553191489361701</v>
      </c>
      <c r="U935" s="8">
        <v>0</v>
      </c>
      <c r="V935" s="8">
        <v>0</v>
      </c>
      <c r="W935" s="8">
        <f>0.5*100/14.1</f>
        <v>3.5460992907801421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14">
        <f t="shared" si="85"/>
        <v>100</v>
      </c>
      <c r="AE935" s="8">
        <f>1.47*100/14.1</f>
        <v>10.425531914893618</v>
      </c>
      <c r="AF935" s="8">
        <v>0</v>
      </c>
      <c r="AG935" s="8">
        <v>0</v>
      </c>
      <c r="AH935" s="8">
        <v>0</v>
      </c>
      <c r="AI935" s="39" t="s">
        <v>1529</v>
      </c>
      <c r="AJ935" s="7">
        <v>3</v>
      </c>
      <c r="AK935" s="62">
        <v>1323</v>
      </c>
      <c r="AL935" s="158"/>
      <c r="AM935" s="85"/>
      <c r="AN935" s="85"/>
      <c r="AO935" s="85"/>
      <c r="AP935" s="85"/>
      <c r="AQ935" s="85"/>
      <c r="AR935" s="85"/>
      <c r="AS935" s="85"/>
      <c r="AT935" s="205"/>
      <c r="AU935" s="85"/>
      <c r="AV935" s="196"/>
      <c r="AW935" s="85"/>
      <c r="AX935" s="85"/>
      <c r="AY935" s="39">
        <v>0.01</v>
      </c>
      <c r="AZ935" s="7">
        <v>321</v>
      </c>
      <c r="BA935" s="62"/>
      <c r="BB935" s="7">
        <v>5</v>
      </c>
      <c r="BC935" s="7">
        <v>18.899999999999999</v>
      </c>
      <c r="BD935" s="7">
        <v>323</v>
      </c>
      <c r="BE935" s="7">
        <v>20.39</v>
      </c>
      <c r="BF935" s="39"/>
      <c r="BG935" s="7"/>
      <c r="BH935" s="62"/>
      <c r="BI935" s="7"/>
      <c r="BJ935" s="32">
        <v>1</v>
      </c>
      <c r="BK935" s="54"/>
    </row>
    <row r="936" spans="1:63" ht="23.25" customHeight="1" x14ac:dyDescent="0.2">
      <c r="A936" s="62">
        <v>935</v>
      </c>
      <c r="B936" s="219"/>
      <c r="C936" s="219"/>
      <c r="D936" s="54" t="s">
        <v>1324</v>
      </c>
      <c r="E936" s="54"/>
      <c r="F936" s="16">
        <f>11.4*100/14.2</f>
        <v>80.281690140845072</v>
      </c>
      <c r="G936" s="8">
        <f>1.6*100/14.2</f>
        <v>11.267605633802818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17">
        <v>0</v>
      </c>
      <c r="T936" s="8">
        <f>0.7*100/14.2</f>
        <v>4.9295774647887329</v>
      </c>
      <c r="U936" s="8">
        <v>0</v>
      </c>
      <c r="V936" s="8">
        <v>0</v>
      </c>
      <c r="W936" s="8">
        <f>0.5*100/14.2</f>
        <v>3.5211267605633805</v>
      </c>
      <c r="X936" s="8">
        <v>0</v>
      </c>
      <c r="Y936" s="8">
        <v>0</v>
      </c>
      <c r="Z936" s="8">
        <v>0</v>
      </c>
      <c r="AA936" s="8">
        <v>0</v>
      </c>
      <c r="AB936" s="8">
        <v>0</v>
      </c>
      <c r="AC936" s="8">
        <v>0</v>
      </c>
      <c r="AD936" s="14">
        <f t="shared" si="85"/>
        <v>100</v>
      </c>
      <c r="AE936" s="8">
        <f>1.64*100/14.2</f>
        <v>11.549295774647888</v>
      </c>
      <c r="AF936" s="8">
        <v>0</v>
      </c>
      <c r="AG936" s="8">
        <v>0</v>
      </c>
      <c r="AH936" s="8">
        <v>0</v>
      </c>
      <c r="AI936" s="39" t="s">
        <v>1529</v>
      </c>
      <c r="AJ936" s="7">
        <v>3</v>
      </c>
      <c r="AK936" s="62">
        <v>1323</v>
      </c>
      <c r="AL936" s="158"/>
      <c r="AM936" s="85"/>
      <c r="AN936" s="85"/>
      <c r="AO936" s="85"/>
      <c r="AP936" s="85"/>
      <c r="AQ936" s="85"/>
      <c r="AR936" s="85"/>
      <c r="AS936" s="85"/>
      <c r="AT936" s="205"/>
      <c r="AU936" s="85"/>
      <c r="AV936" s="196"/>
      <c r="AW936" s="85"/>
      <c r="AX936" s="85"/>
      <c r="AY936" s="39">
        <v>0.01</v>
      </c>
      <c r="AZ936" s="7">
        <v>331</v>
      </c>
      <c r="BA936" s="62"/>
      <c r="BB936" s="7">
        <v>5</v>
      </c>
      <c r="BC936" s="7">
        <v>15.9</v>
      </c>
      <c r="BD936" s="7">
        <v>330</v>
      </c>
      <c r="BE936" s="7">
        <v>24.1</v>
      </c>
      <c r="BF936" s="39"/>
      <c r="BG936" s="7"/>
      <c r="BH936" s="62"/>
      <c r="BI936" s="7"/>
      <c r="BJ936" s="32">
        <v>1</v>
      </c>
      <c r="BK936" s="54"/>
    </row>
    <row r="937" spans="1:63" ht="23.25" customHeight="1" thickBot="1" x14ac:dyDescent="0.25">
      <c r="A937" s="7">
        <v>936</v>
      </c>
      <c r="B937" s="220"/>
      <c r="C937" s="220"/>
      <c r="D937" s="54" t="s">
        <v>1325</v>
      </c>
      <c r="E937" s="54"/>
      <c r="F937" s="16">
        <f>11.4*100/14.1</f>
        <v>80.851063829787236</v>
      </c>
      <c r="G937" s="8">
        <f>1.6*100/14.1</f>
        <v>11.347517730496454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17">
        <v>0</v>
      </c>
      <c r="T937" s="8">
        <f>0.6*100/14.1</f>
        <v>4.2553191489361701</v>
      </c>
      <c r="U937" s="8">
        <v>0</v>
      </c>
      <c r="V937" s="8">
        <v>0</v>
      </c>
      <c r="W937" s="8">
        <f>0.5*100/14.1</f>
        <v>3.5460992907801421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14">
        <f t="shared" si="85"/>
        <v>100</v>
      </c>
      <c r="AE937" s="8">
        <v>0</v>
      </c>
      <c r="AF937" s="8">
        <v>0</v>
      </c>
      <c r="AG937" s="8">
        <v>0</v>
      </c>
      <c r="AH937" s="8">
        <v>0</v>
      </c>
      <c r="AI937" s="39" t="s">
        <v>1529</v>
      </c>
      <c r="AJ937" s="7">
        <v>3</v>
      </c>
      <c r="AK937" s="62">
        <v>1323</v>
      </c>
      <c r="AL937" s="158"/>
      <c r="AM937" s="85"/>
      <c r="AN937" s="85"/>
      <c r="AO937" s="85"/>
      <c r="AP937" s="85"/>
      <c r="AQ937" s="85"/>
      <c r="AR937" s="85"/>
      <c r="AS937" s="85"/>
      <c r="AT937" s="205"/>
      <c r="AU937" s="85"/>
      <c r="AV937" s="196"/>
      <c r="AW937" s="85"/>
      <c r="AX937" s="85"/>
      <c r="AY937" s="39">
        <v>0.01</v>
      </c>
      <c r="AZ937" s="7">
        <v>193</v>
      </c>
      <c r="BA937" s="62"/>
      <c r="BB937" s="7">
        <v>5</v>
      </c>
      <c r="BC937" s="7">
        <v>22.4</v>
      </c>
      <c r="BD937" s="7">
        <v>193</v>
      </c>
      <c r="BE937" s="7">
        <v>19.100000000000001</v>
      </c>
      <c r="BF937" s="39"/>
      <c r="BG937" s="7"/>
      <c r="BH937" s="62"/>
      <c r="BI937" s="7"/>
      <c r="BJ937" s="32">
        <v>1</v>
      </c>
      <c r="BK937" s="54"/>
    </row>
    <row r="938" spans="1:63" s="4" customFormat="1" ht="23.25" customHeight="1" x14ac:dyDescent="0.2">
      <c r="A938" s="62">
        <v>937</v>
      </c>
      <c r="B938" s="218">
        <v>1003</v>
      </c>
      <c r="C938" s="218" t="s">
        <v>1619</v>
      </c>
      <c r="D938" s="225" t="s">
        <v>71</v>
      </c>
      <c r="E938" s="12"/>
      <c r="F938" s="87">
        <f>0.89*13*100/14</f>
        <v>82.642857142857139</v>
      </c>
      <c r="G938" s="88">
        <f>0.11*13*100/14</f>
        <v>10.214285714285714</v>
      </c>
      <c r="H938" s="88">
        <v>0</v>
      </c>
      <c r="I938" s="88">
        <v>0</v>
      </c>
      <c r="J938" s="88">
        <v>0</v>
      </c>
      <c r="K938" s="88">
        <v>0</v>
      </c>
      <c r="L938" s="88">
        <v>0</v>
      </c>
      <c r="M938" s="88">
        <v>0</v>
      </c>
      <c r="N938" s="88">
        <v>0</v>
      </c>
      <c r="O938" s="88">
        <v>0</v>
      </c>
      <c r="P938" s="88">
        <v>0</v>
      </c>
      <c r="Q938" s="88">
        <v>0</v>
      </c>
      <c r="R938" s="88">
        <v>0</v>
      </c>
      <c r="S938" s="89">
        <v>0</v>
      </c>
      <c r="T938" s="88">
        <f>1*100/14</f>
        <v>7.1428571428571432</v>
      </c>
      <c r="U938" s="88">
        <v>0</v>
      </c>
      <c r="V938" s="88">
        <v>0</v>
      </c>
      <c r="W938" s="88">
        <v>0</v>
      </c>
      <c r="X938" s="88">
        <v>0</v>
      </c>
      <c r="Y938" s="88">
        <v>0</v>
      </c>
      <c r="Z938" s="88">
        <v>0</v>
      </c>
      <c r="AA938" s="88">
        <v>0</v>
      </c>
      <c r="AB938" s="88">
        <v>0</v>
      </c>
      <c r="AC938" s="88">
        <v>0</v>
      </c>
      <c r="AD938" s="90">
        <f t="shared" si="85"/>
        <v>99.999999999999986</v>
      </c>
      <c r="AE938" s="88">
        <v>0</v>
      </c>
      <c r="AF938" s="88">
        <v>0</v>
      </c>
      <c r="AG938" s="88">
        <v>0</v>
      </c>
      <c r="AH938" s="88">
        <v>0</v>
      </c>
      <c r="AI938" s="156" t="s">
        <v>1531</v>
      </c>
      <c r="AJ938" s="45">
        <v>25</v>
      </c>
      <c r="AK938" s="91">
        <v>1323</v>
      </c>
      <c r="AL938" s="197"/>
      <c r="AM938" s="189"/>
      <c r="AN938" s="189"/>
      <c r="AO938" s="189"/>
      <c r="AP938" s="189"/>
      <c r="AQ938" s="189"/>
      <c r="AR938" s="189"/>
      <c r="AS938" s="189"/>
      <c r="AT938" s="198"/>
      <c r="AU938" s="189"/>
      <c r="AV938" s="199"/>
      <c r="AW938" s="189"/>
      <c r="AX938" s="189"/>
      <c r="AY938" s="156">
        <v>1</v>
      </c>
      <c r="AZ938" s="45">
        <v>190.4</v>
      </c>
      <c r="BA938" s="91"/>
      <c r="BB938" s="45"/>
      <c r="BC938" s="45"/>
      <c r="BD938" s="45"/>
      <c r="BE938" s="45"/>
      <c r="BF938" s="156"/>
      <c r="BG938" s="45"/>
      <c r="BH938" s="91"/>
      <c r="BI938" s="45"/>
      <c r="BJ938" s="67"/>
      <c r="BK938" s="12"/>
    </row>
    <row r="939" spans="1:63" ht="23.25" customHeight="1" x14ac:dyDescent="0.2">
      <c r="A939" s="7">
        <v>938</v>
      </c>
      <c r="B939" s="221"/>
      <c r="C939" s="221"/>
      <c r="D939" s="223"/>
      <c r="E939" s="54"/>
      <c r="F939" s="16">
        <f t="shared" ref="F939:F941" si="94">0.89*13*100/14</f>
        <v>82.642857142857139</v>
      </c>
      <c r="G939" s="8">
        <f t="shared" ref="G939:G941" si="95">0.11*13*100/14</f>
        <v>10.214285714285714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17">
        <v>0</v>
      </c>
      <c r="T939" s="8">
        <f t="shared" ref="T939:T941" si="96">1*100/14</f>
        <v>7.1428571428571432</v>
      </c>
      <c r="U939" s="8">
        <v>0</v>
      </c>
      <c r="V939" s="8">
        <v>0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14">
        <f t="shared" si="85"/>
        <v>99.999999999999986</v>
      </c>
      <c r="AE939" s="8">
        <v>0</v>
      </c>
      <c r="AF939" s="8">
        <v>0</v>
      </c>
      <c r="AG939" s="8">
        <v>0</v>
      </c>
      <c r="AH939" s="8">
        <v>0</v>
      </c>
      <c r="AI939" s="39" t="s">
        <v>1531</v>
      </c>
      <c r="AJ939" s="7">
        <v>50</v>
      </c>
      <c r="AK939" s="62">
        <v>1323</v>
      </c>
      <c r="AL939" s="158"/>
      <c r="AM939" s="85"/>
      <c r="AN939" s="85"/>
      <c r="AO939" s="85"/>
      <c r="AP939" s="85"/>
      <c r="AQ939" s="85"/>
      <c r="AR939" s="85"/>
      <c r="AS939" s="85"/>
      <c r="AT939" s="205"/>
      <c r="AU939" s="85"/>
      <c r="AV939" s="196"/>
      <c r="AW939" s="85"/>
      <c r="AX939" s="85"/>
      <c r="AY939" s="39">
        <v>1</v>
      </c>
      <c r="AZ939" s="7">
        <v>192.3</v>
      </c>
      <c r="BA939" s="62"/>
      <c r="BB939" s="7"/>
      <c r="BC939" s="7"/>
      <c r="BD939" s="7"/>
      <c r="BE939" s="7"/>
      <c r="BF939" s="39"/>
      <c r="BG939" s="7"/>
      <c r="BH939" s="62"/>
      <c r="BI939" s="7"/>
      <c r="BJ939" s="32"/>
      <c r="BK939" s="54"/>
    </row>
    <row r="940" spans="1:63" ht="23.25" customHeight="1" x14ac:dyDescent="0.2">
      <c r="A940" s="62">
        <v>939</v>
      </c>
      <c r="B940" s="221"/>
      <c r="C940" s="221"/>
      <c r="D940" s="223"/>
      <c r="E940" s="54"/>
      <c r="F940" s="16">
        <f t="shared" si="94"/>
        <v>82.642857142857139</v>
      </c>
      <c r="G940" s="8">
        <f t="shared" si="95"/>
        <v>10.214285714285714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17">
        <v>0</v>
      </c>
      <c r="T940" s="8">
        <f t="shared" si="96"/>
        <v>7.1428571428571432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14">
        <f t="shared" si="85"/>
        <v>99.999999999999986</v>
      </c>
      <c r="AE940" s="8">
        <v>0</v>
      </c>
      <c r="AF940" s="8">
        <v>0</v>
      </c>
      <c r="AG940" s="8">
        <v>0</v>
      </c>
      <c r="AH940" s="8">
        <v>0</v>
      </c>
      <c r="AI940" s="39" t="s">
        <v>1531</v>
      </c>
      <c r="AJ940" s="7">
        <v>100</v>
      </c>
      <c r="AK940" s="62">
        <v>1323</v>
      </c>
      <c r="AL940" s="158"/>
      <c r="AM940" s="85"/>
      <c r="AN940" s="85"/>
      <c r="AO940" s="85"/>
      <c r="AP940" s="85"/>
      <c r="AQ940" s="85"/>
      <c r="AR940" s="85"/>
      <c r="AS940" s="85"/>
      <c r="AT940" s="205"/>
      <c r="AU940" s="85"/>
      <c r="AV940" s="196"/>
      <c r="AW940" s="85"/>
      <c r="AX940" s="85"/>
      <c r="AY940" s="39">
        <v>1</v>
      </c>
      <c r="AZ940" s="7">
        <v>194.3</v>
      </c>
      <c r="BA940" s="62"/>
      <c r="BB940" s="7"/>
      <c r="BC940" s="7"/>
      <c r="BD940" s="7"/>
      <c r="BE940" s="7"/>
      <c r="BF940" s="39"/>
      <c r="BG940" s="7"/>
      <c r="BH940" s="62"/>
      <c r="BI940" s="7"/>
      <c r="BJ940" s="32"/>
      <c r="BK940" s="54"/>
    </row>
    <row r="941" spans="1:63" s="6" customFormat="1" ht="23.25" customHeight="1" thickBot="1" x14ac:dyDescent="0.25">
      <c r="A941" s="7">
        <v>940</v>
      </c>
      <c r="B941" s="222"/>
      <c r="C941" s="222"/>
      <c r="D941" s="224"/>
      <c r="E941" s="13"/>
      <c r="F941" s="80">
        <f t="shared" si="94"/>
        <v>82.642857142857139</v>
      </c>
      <c r="G941" s="81">
        <f t="shared" si="95"/>
        <v>10.214285714285714</v>
      </c>
      <c r="H941" s="81">
        <v>0</v>
      </c>
      <c r="I941" s="81">
        <v>0</v>
      </c>
      <c r="J941" s="81">
        <v>0</v>
      </c>
      <c r="K941" s="81">
        <v>0</v>
      </c>
      <c r="L941" s="81">
        <v>0</v>
      </c>
      <c r="M941" s="81">
        <v>0</v>
      </c>
      <c r="N941" s="81">
        <v>0</v>
      </c>
      <c r="O941" s="81">
        <v>0</v>
      </c>
      <c r="P941" s="81">
        <v>0</v>
      </c>
      <c r="Q941" s="81">
        <v>0</v>
      </c>
      <c r="R941" s="81">
        <v>0</v>
      </c>
      <c r="S941" s="82">
        <v>0</v>
      </c>
      <c r="T941" s="81">
        <f t="shared" si="96"/>
        <v>7.1428571428571432</v>
      </c>
      <c r="U941" s="81">
        <v>0</v>
      </c>
      <c r="V941" s="81">
        <v>0</v>
      </c>
      <c r="W941" s="81">
        <v>0</v>
      </c>
      <c r="X941" s="81">
        <v>0</v>
      </c>
      <c r="Y941" s="81">
        <v>0</v>
      </c>
      <c r="Z941" s="81">
        <v>0</v>
      </c>
      <c r="AA941" s="81">
        <v>0</v>
      </c>
      <c r="AB941" s="81">
        <v>0</v>
      </c>
      <c r="AC941" s="81">
        <v>0</v>
      </c>
      <c r="AD941" s="83">
        <f t="shared" si="85"/>
        <v>99.999999999999986</v>
      </c>
      <c r="AE941" s="81">
        <v>0</v>
      </c>
      <c r="AF941" s="81">
        <v>0</v>
      </c>
      <c r="AG941" s="81">
        <v>0</v>
      </c>
      <c r="AH941" s="81">
        <v>0</v>
      </c>
      <c r="AI941" s="79" t="s">
        <v>1531</v>
      </c>
      <c r="AJ941" s="65">
        <v>300</v>
      </c>
      <c r="AK941" s="78">
        <v>1323</v>
      </c>
      <c r="AL941" s="200"/>
      <c r="AM941" s="190"/>
      <c r="AN941" s="190"/>
      <c r="AO941" s="190"/>
      <c r="AP941" s="190"/>
      <c r="AQ941" s="190"/>
      <c r="AR941" s="190"/>
      <c r="AS941" s="190"/>
      <c r="AT941" s="201"/>
      <c r="AU941" s="190"/>
      <c r="AV941" s="202"/>
      <c r="AW941" s="190"/>
      <c r="AX941" s="190"/>
      <c r="AY941" s="79">
        <v>1</v>
      </c>
      <c r="AZ941" s="65">
        <v>195</v>
      </c>
      <c r="BA941" s="78"/>
      <c r="BB941" s="65"/>
      <c r="BC941" s="65"/>
      <c r="BD941" s="65"/>
      <c r="BE941" s="65"/>
      <c r="BF941" s="79"/>
      <c r="BG941" s="65"/>
      <c r="BH941" s="78"/>
      <c r="BI941" s="65"/>
      <c r="BJ941" s="68"/>
      <c r="BK941" s="13"/>
    </row>
    <row r="942" spans="1:63" ht="23.25" customHeight="1" x14ac:dyDescent="0.2">
      <c r="A942" s="62">
        <v>941</v>
      </c>
      <c r="B942" s="218">
        <v>1004</v>
      </c>
      <c r="C942" s="218" t="s">
        <v>1620</v>
      </c>
      <c r="D942" s="225" t="s">
        <v>1705</v>
      </c>
      <c r="E942" s="54" t="s">
        <v>1696</v>
      </c>
      <c r="F942" s="16">
        <f t="shared" ref="F942:F947" si="97">11.29*100/14</f>
        <v>80.642857142857139</v>
      </c>
      <c r="G942" s="8">
        <f>1.71*100/14</f>
        <v>12.214285714285714</v>
      </c>
      <c r="H942" s="8">
        <f>0*1.71*100/14</f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17">
        <v>0</v>
      </c>
      <c r="T942" s="8">
        <f t="shared" ref="T942:T977" si="98">1*100/14</f>
        <v>7.1428571428571432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14">
        <f t="shared" si="85"/>
        <v>99.999999999999986</v>
      </c>
      <c r="AE942" s="8">
        <v>10.14</v>
      </c>
      <c r="AF942" s="8">
        <v>0</v>
      </c>
      <c r="AG942" s="8">
        <v>0</v>
      </c>
      <c r="AH942" s="8">
        <v>0</v>
      </c>
      <c r="AI942" s="39" t="s">
        <v>1531</v>
      </c>
      <c r="AJ942" s="7"/>
      <c r="AK942" s="62"/>
      <c r="AL942" s="158"/>
      <c r="AM942" s="85"/>
      <c r="AN942" s="85"/>
      <c r="AO942" s="85"/>
      <c r="AP942" s="85"/>
      <c r="AQ942" s="85"/>
      <c r="AR942" s="85"/>
      <c r="AS942" s="85"/>
      <c r="AT942" s="205"/>
      <c r="AU942" s="85"/>
      <c r="AV942" s="196"/>
      <c r="AW942" s="85"/>
      <c r="AX942" s="85"/>
      <c r="AY942" s="39"/>
      <c r="AZ942" s="7">
        <v>325.39999999999998</v>
      </c>
      <c r="BA942" s="62"/>
      <c r="BB942" s="7">
        <v>1.6</v>
      </c>
      <c r="BC942" s="7">
        <v>9.1999999999999993</v>
      </c>
      <c r="BD942" s="7"/>
      <c r="BE942" s="7"/>
      <c r="BF942" s="39"/>
      <c r="BG942" s="7"/>
      <c r="BH942" s="62"/>
      <c r="BI942" s="7"/>
      <c r="BJ942" s="32"/>
      <c r="BK942" s="54"/>
    </row>
    <row r="943" spans="1:63" ht="23.25" customHeight="1" x14ac:dyDescent="0.2">
      <c r="A943" s="7">
        <v>942</v>
      </c>
      <c r="B943" s="221"/>
      <c r="C943" s="221"/>
      <c r="D943" s="223"/>
      <c r="E943" s="54" t="s">
        <v>1697</v>
      </c>
      <c r="F943" s="16">
        <f t="shared" si="97"/>
        <v>80.642857142857139</v>
      </c>
      <c r="G943" s="8">
        <f>0.8*1.71*100/14</f>
        <v>9.7714285714285722</v>
      </c>
      <c r="H943" s="8">
        <f>0.2*1.71*100/14</f>
        <v>2.4428571428571431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17">
        <v>0</v>
      </c>
      <c r="T943" s="8">
        <f t="shared" si="98"/>
        <v>7.1428571428571432</v>
      </c>
      <c r="U943" s="8">
        <v>0</v>
      </c>
      <c r="V943" s="8">
        <v>0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14">
        <f t="shared" ref="AD943:AD977" si="99">SUM(F943:AC943)</f>
        <v>100</v>
      </c>
      <c r="AE943" s="8">
        <v>10.3</v>
      </c>
      <c r="AF943" s="8">
        <v>0</v>
      </c>
      <c r="AG943" s="8">
        <v>0</v>
      </c>
      <c r="AH943" s="8">
        <v>0</v>
      </c>
      <c r="AI943" s="39" t="s">
        <v>1531</v>
      </c>
      <c r="AJ943" s="7"/>
      <c r="AK943" s="62"/>
      <c r="AL943" s="158"/>
      <c r="AM943" s="85"/>
      <c r="AN943" s="85"/>
      <c r="AO943" s="85"/>
      <c r="AP943" s="85"/>
      <c r="AQ943" s="85"/>
      <c r="AR943" s="85"/>
      <c r="AS943" s="85"/>
      <c r="AT943" s="205"/>
      <c r="AU943" s="85"/>
      <c r="AV943" s="196"/>
      <c r="AW943" s="85"/>
      <c r="AX943" s="85"/>
      <c r="AY943" s="39"/>
      <c r="AZ943" s="7">
        <v>323.3</v>
      </c>
      <c r="BA943" s="62"/>
      <c r="BB943" s="7">
        <v>1.6</v>
      </c>
      <c r="BC943" s="7">
        <v>6.5</v>
      </c>
      <c r="BD943" s="7"/>
      <c r="BE943" s="7"/>
      <c r="BF943" s="39"/>
      <c r="BG943" s="7"/>
      <c r="BH943" s="62"/>
      <c r="BI943" s="7"/>
      <c r="BJ943" s="32"/>
      <c r="BK943" s="54"/>
    </row>
    <row r="944" spans="1:63" ht="23.25" customHeight="1" x14ac:dyDescent="0.2">
      <c r="A944" s="62">
        <v>943</v>
      </c>
      <c r="B944" s="221"/>
      <c r="C944" s="221"/>
      <c r="D944" s="223"/>
      <c r="E944" s="54" t="s">
        <v>1698</v>
      </c>
      <c r="F944" s="16">
        <f t="shared" si="97"/>
        <v>80.642857142857139</v>
      </c>
      <c r="G944" s="8">
        <f>0.6*1.71*100/14</f>
        <v>7.3285714285714292</v>
      </c>
      <c r="H944" s="8">
        <f>0.4*1.71*100/14</f>
        <v>4.8857142857142861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17">
        <v>0</v>
      </c>
      <c r="T944" s="8">
        <f t="shared" si="98"/>
        <v>7.1428571428571432</v>
      </c>
      <c r="U944" s="8">
        <v>0</v>
      </c>
      <c r="V944" s="8">
        <v>0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  <c r="AD944" s="14">
        <f t="shared" si="99"/>
        <v>99.999999999999986</v>
      </c>
      <c r="AE944" s="8">
        <v>10.6</v>
      </c>
      <c r="AF944" s="8">
        <v>0</v>
      </c>
      <c r="AG944" s="8">
        <v>0</v>
      </c>
      <c r="AH944" s="8">
        <v>0</v>
      </c>
      <c r="AI944" s="39" t="s">
        <v>1531</v>
      </c>
      <c r="AJ944" s="7"/>
      <c r="AK944" s="62"/>
      <c r="AL944" s="158"/>
      <c r="AM944" s="85"/>
      <c r="AN944" s="85"/>
      <c r="AO944" s="85"/>
      <c r="AP944" s="85"/>
      <c r="AQ944" s="85"/>
      <c r="AR944" s="85"/>
      <c r="AS944" s="85"/>
      <c r="AT944" s="205"/>
      <c r="AU944" s="85"/>
      <c r="AV944" s="196"/>
      <c r="AW944" s="85"/>
      <c r="AX944" s="85"/>
      <c r="AY944" s="39"/>
      <c r="AZ944" s="7">
        <v>328.8</v>
      </c>
      <c r="BA944" s="62"/>
      <c r="BB944" s="7">
        <v>1.6</v>
      </c>
      <c r="BC944" s="7">
        <v>4.0999999999999996</v>
      </c>
      <c r="BD944" s="7"/>
      <c r="BE944" s="7"/>
      <c r="BF944" s="39"/>
      <c r="BG944" s="7"/>
      <c r="BH944" s="62"/>
      <c r="BI944" s="7"/>
      <c r="BJ944" s="32"/>
      <c r="BK944" s="54"/>
    </row>
    <row r="945" spans="1:63" ht="23.25" customHeight="1" x14ac:dyDescent="0.2">
      <c r="A945" s="7">
        <v>944</v>
      </c>
      <c r="B945" s="221"/>
      <c r="C945" s="221"/>
      <c r="D945" s="223"/>
      <c r="E945" s="54" t="s">
        <v>1699</v>
      </c>
      <c r="F945" s="16">
        <f t="shared" si="97"/>
        <v>80.642857142857139</v>
      </c>
      <c r="G945" s="8">
        <f>0.4*1.71*100/14</f>
        <v>4.8857142857142861</v>
      </c>
      <c r="H945" s="8">
        <f>0.6*1.71*100/14</f>
        <v>7.3285714285714292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17">
        <v>0</v>
      </c>
      <c r="T945" s="8">
        <f t="shared" si="98"/>
        <v>7.1428571428571432</v>
      </c>
      <c r="U945" s="8">
        <v>0</v>
      </c>
      <c r="V945" s="8">
        <v>0</v>
      </c>
      <c r="W945" s="8">
        <v>0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14">
        <f t="shared" si="99"/>
        <v>100</v>
      </c>
      <c r="AE945" s="8">
        <v>11.8</v>
      </c>
      <c r="AF945" s="8">
        <v>0</v>
      </c>
      <c r="AG945" s="8">
        <v>0</v>
      </c>
      <c r="AH945" s="8">
        <v>0</v>
      </c>
      <c r="AI945" s="39" t="s">
        <v>1531</v>
      </c>
      <c r="AJ945" s="7"/>
      <c r="AK945" s="62"/>
      <c r="AL945" s="158"/>
      <c r="AM945" s="85"/>
      <c r="AN945" s="85"/>
      <c r="AO945" s="85"/>
      <c r="AP945" s="85"/>
      <c r="AQ945" s="85"/>
      <c r="AR945" s="85"/>
      <c r="AS945" s="85"/>
      <c r="AT945" s="205"/>
      <c r="AU945" s="85"/>
      <c r="AV945" s="196"/>
      <c r="AW945" s="85"/>
      <c r="AX945" s="85"/>
      <c r="AY945" s="39"/>
      <c r="AZ945" s="7">
        <v>325.7</v>
      </c>
      <c r="BA945" s="62"/>
      <c r="BB945" s="7">
        <v>1.6</v>
      </c>
      <c r="BC945" s="7">
        <v>3.4</v>
      </c>
      <c r="BD945" s="7"/>
      <c r="BE945" s="7"/>
      <c r="BF945" s="39"/>
      <c r="BG945" s="7"/>
      <c r="BH945" s="62"/>
      <c r="BI945" s="7"/>
      <c r="BJ945" s="32"/>
      <c r="BK945" s="54"/>
    </row>
    <row r="946" spans="1:63" ht="23.25" customHeight="1" x14ac:dyDescent="0.2">
      <c r="A946" s="62">
        <v>945</v>
      </c>
      <c r="B946" s="221"/>
      <c r="C946" s="221"/>
      <c r="D946" s="223"/>
      <c r="E946" s="54" t="s">
        <v>1700</v>
      </c>
      <c r="F946" s="16">
        <f t="shared" si="97"/>
        <v>80.642857142857139</v>
      </c>
      <c r="G946" s="8">
        <f>0.2*1.71*100/14</f>
        <v>2.4428571428571431</v>
      </c>
      <c r="H946" s="8">
        <f>0.8*1.71*100/14</f>
        <v>9.7714285714285722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17">
        <v>0</v>
      </c>
      <c r="T946" s="8">
        <f t="shared" si="98"/>
        <v>7.1428571428571432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14">
        <f t="shared" si="99"/>
        <v>100</v>
      </c>
      <c r="AE946" s="8">
        <v>11.2</v>
      </c>
      <c r="AF946" s="8">
        <v>0</v>
      </c>
      <c r="AG946" s="8">
        <v>0</v>
      </c>
      <c r="AH946" s="8">
        <v>0</v>
      </c>
      <c r="AI946" s="39" t="s">
        <v>1531</v>
      </c>
      <c r="AJ946" s="7"/>
      <c r="AK946" s="62"/>
      <c r="AL946" s="158"/>
      <c r="AM946" s="85"/>
      <c r="AN946" s="85"/>
      <c r="AO946" s="85"/>
      <c r="AP946" s="85"/>
      <c r="AQ946" s="85"/>
      <c r="AR946" s="85"/>
      <c r="AS946" s="85"/>
      <c r="AT946" s="205"/>
      <c r="AU946" s="85"/>
      <c r="AV946" s="196"/>
      <c r="AW946" s="85"/>
      <c r="AX946" s="85"/>
      <c r="AY946" s="39"/>
      <c r="AZ946" s="7">
        <v>328</v>
      </c>
      <c r="BA946" s="62"/>
      <c r="BB946" s="7">
        <v>1.6</v>
      </c>
      <c r="BC946" s="7">
        <v>2.8</v>
      </c>
      <c r="BD946" s="7"/>
      <c r="BE946" s="7"/>
      <c r="BF946" s="39"/>
      <c r="BG946" s="7"/>
      <c r="BH946" s="62"/>
      <c r="BI946" s="7"/>
      <c r="BJ946" s="32"/>
      <c r="BK946" s="54"/>
    </row>
    <row r="947" spans="1:63" ht="23.25" customHeight="1" x14ac:dyDescent="0.2">
      <c r="A947" s="7">
        <v>946</v>
      </c>
      <c r="B947" s="221"/>
      <c r="C947" s="221"/>
      <c r="D947" s="223"/>
      <c r="E947" s="54" t="s">
        <v>1701</v>
      </c>
      <c r="F947" s="16">
        <f t="shared" si="97"/>
        <v>80.642857142857139</v>
      </c>
      <c r="G947" s="8">
        <f>0*1.71*100/14</f>
        <v>0</v>
      </c>
      <c r="H947" s="8">
        <f>1.71*100/14</f>
        <v>12.214285714285714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17">
        <v>0</v>
      </c>
      <c r="T947" s="8">
        <f t="shared" si="98"/>
        <v>7.1428571428571432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14">
        <f t="shared" si="99"/>
        <v>99.999999999999986</v>
      </c>
      <c r="AE947" s="8">
        <v>12.4</v>
      </c>
      <c r="AF947" s="8">
        <v>0</v>
      </c>
      <c r="AG947" s="8">
        <v>0</v>
      </c>
      <c r="AH947" s="8">
        <v>0</v>
      </c>
      <c r="AI947" s="39" t="s">
        <v>1531</v>
      </c>
      <c r="AJ947" s="7"/>
      <c r="AK947" s="62"/>
      <c r="AL947" s="158"/>
      <c r="AM947" s="85"/>
      <c r="AN947" s="85"/>
      <c r="AO947" s="85"/>
      <c r="AP947" s="85"/>
      <c r="AQ947" s="85"/>
      <c r="AR947" s="85"/>
      <c r="AS947" s="85"/>
      <c r="AT947" s="205"/>
      <c r="AU947" s="85"/>
      <c r="AV947" s="196"/>
      <c r="AW947" s="85"/>
      <c r="AX947" s="85"/>
      <c r="AY947" s="39"/>
      <c r="AZ947" s="7">
        <v>324.7</v>
      </c>
      <c r="BA947" s="62"/>
      <c r="BB947" s="7">
        <v>1.6</v>
      </c>
      <c r="BC947" s="7">
        <v>2.25</v>
      </c>
      <c r="BD947" s="7"/>
      <c r="BE947" s="7"/>
      <c r="BF947" s="39"/>
      <c r="BG947" s="7"/>
      <c r="BH947" s="62"/>
      <c r="BI947" s="7"/>
      <c r="BJ947" s="32"/>
      <c r="BK947" s="54"/>
    </row>
    <row r="948" spans="1:63" ht="23.25" customHeight="1" x14ac:dyDescent="0.2">
      <c r="A948" s="62">
        <v>947</v>
      </c>
      <c r="B948" s="221"/>
      <c r="C948" s="221"/>
      <c r="D948" s="223" t="s">
        <v>1706</v>
      </c>
      <c r="E948" s="54" t="s">
        <v>1696</v>
      </c>
      <c r="F948" s="16">
        <f>11.57*100/14</f>
        <v>82.642857142857139</v>
      </c>
      <c r="G948" s="8">
        <f>1.43*100/14</f>
        <v>10.214285714285714</v>
      </c>
      <c r="H948" s="8">
        <f>0*1.43*100/14</f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17">
        <v>0</v>
      </c>
      <c r="T948" s="8">
        <f t="shared" si="98"/>
        <v>7.1428571428571432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14">
        <f t="shared" si="99"/>
        <v>99.999999999999986</v>
      </c>
      <c r="AE948" s="8">
        <v>10.8</v>
      </c>
      <c r="AF948" s="8">
        <v>0</v>
      </c>
      <c r="AG948" s="8">
        <v>0</v>
      </c>
      <c r="AH948" s="8">
        <v>0</v>
      </c>
      <c r="AI948" s="39" t="s">
        <v>1531</v>
      </c>
      <c r="AJ948" s="7"/>
      <c r="AK948" s="62"/>
      <c r="AL948" s="158"/>
      <c r="AM948" s="85"/>
      <c r="AN948" s="85"/>
      <c r="AO948" s="85"/>
      <c r="AP948" s="85"/>
      <c r="AQ948" s="85"/>
      <c r="AR948" s="85"/>
      <c r="AS948" s="85"/>
      <c r="AT948" s="205"/>
      <c r="AU948" s="85"/>
      <c r="AV948" s="196"/>
      <c r="AW948" s="85"/>
      <c r="AX948" s="85"/>
      <c r="AY948" s="39"/>
      <c r="AZ948" s="7">
        <v>331</v>
      </c>
      <c r="BA948" s="62"/>
      <c r="BB948" s="7">
        <v>1.6</v>
      </c>
      <c r="BC948" s="7">
        <v>17.5</v>
      </c>
      <c r="BD948" s="7"/>
      <c r="BE948" s="7"/>
      <c r="BF948" s="39"/>
      <c r="BG948" s="7"/>
      <c r="BH948" s="62"/>
      <c r="BI948" s="7"/>
      <c r="BJ948" s="32"/>
      <c r="BK948" s="54"/>
    </row>
    <row r="949" spans="1:63" ht="23.25" customHeight="1" x14ac:dyDescent="0.2">
      <c r="A949" s="7">
        <v>948</v>
      </c>
      <c r="B949" s="221"/>
      <c r="C949" s="221"/>
      <c r="D949" s="223"/>
      <c r="E949" s="54" t="s">
        <v>1697</v>
      </c>
      <c r="F949" s="16">
        <f t="shared" ref="F949:F953" si="100">11.57*100/14</f>
        <v>82.642857142857139</v>
      </c>
      <c r="G949" s="8">
        <f>0.8*1.43*100/14</f>
        <v>8.1714285714285708</v>
      </c>
      <c r="H949" s="8">
        <f>0.2*1.43*100/14</f>
        <v>2.0428571428571427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17">
        <v>0</v>
      </c>
      <c r="T949" s="8">
        <f t="shared" si="98"/>
        <v>7.1428571428571432</v>
      </c>
      <c r="U949" s="8">
        <v>0</v>
      </c>
      <c r="V949" s="8">
        <v>0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14">
        <f t="shared" si="99"/>
        <v>100</v>
      </c>
      <c r="AE949" s="8">
        <v>11.4</v>
      </c>
      <c r="AF949" s="8">
        <v>0</v>
      </c>
      <c r="AG949" s="8">
        <v>0</v>
      </c>
      <c r="AH949" s="8">
        <v>0</v>
      </c>
      <c r="AI949" s="39" t="s">
        <v>1531</v>
      </c>
      <c r="AJ949" s="7"/>
      <c r="AK949" s="62"/>
      <c r="AL949" s="158"/>
      <c r="AM949" s="85"/>
      <c r="AN949" s="85"/>
      <c r="AO949" s="85"/>
      <c r="AP949" s="85"/>
      <c r="AQ949" s="85"/>
      <c r="AR949" s="85"/>
      <c r="AS949" s="85"/>
      <c r="AT949" s="205"/>
      <c r="AU949" s="85"/>
      <c r="AV949" s="196"/>
      <c r="AW949" s="85"/>
      <c r="AX949" s="85"/>
      <c r="AY949" s="39"/>
      <c r="AZ949" s="7">
        <v>334</v>
      </c>
      <c r="BA949" s="62"/>
      <c r="BB949" s="7">
        <v>1.6</v>
      </c>
      <c r="BC949" s="7">
        <v>13.3</v>
      </c>
      <c r="BD949" s="7"/>
      <c r="BE949" s="7"/>
      <c r="BF949" s="39"/>
      <c r="BG949" s="7"/>
      <c r="BH949" s="62"/>
      <c r="BI949" s="7"/>
      <c r="BJ949" s="32"/>
      <c r="BK949" s="54"/>
    </row>
    <row r="950" spans="1:63" ht="23.25" customHeight="1" x14ac:dyDescent="0.2">
      <c r="A950" s="62">
        <v>949</v>
      </c>
      <c r="B950" s="221"/>
      <c r="C950" s="221"/>
      <c r="D950" s="223"/>
      <c r="E950" s="54" t="s">
        <v>1698</v>
      </c>
      <c r="F950" s="16">
        <f t="shared" si="100"/>
        <v>82.642857142857139</v>
      </c>
      <c r="G950" s="8">
        <f>0.6*1.43*100/14</f>
        <v>6.1285714285714281</v>
      </c>
      <c r="H950" s="8">
        <f>0.4*1.43*100/14</f>
        <v>4.0857142857142854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17">
        <v>0</v>
      </c>
      <c r="T950" s="8">
        <f t="shared" si="98"/>
        <v>7.1428571428571432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14">
        <f t="shared" si="99"/>
        <v>100</v>
      </c>
      <c r="AE950" s="8">
        <v>11.73</v>
      </c>
      <c r="AF950" s="8">
        <v>0</v>
      </c>
      <c r="AG950" s="8">
        <v>0</v>
      </c>
      <c r="AH950" s="8">
        <v>0</v>
      </c>
      <c r="AI950" s="39" t="s">
        <v>1531</v>
      </c>
      <c r="AJ950" s="7"/>
      <c r="AK950" s="62"/>
      <c r="AL950" s="158"/>
      <c r="AM950" s="85"/>
      <c r="AN950" s="85"/>
      <c r="AO950" s="85"/>
      <c r="AP950" s="85"/>
      <c r="AQ950" s="85"/>
      <c r="AR950" s="85"/>
      <c r="AS950" s="85"/>
      <c r="AT950" s="205"/>
      <c r="AU950" s="85"/>
      <c r="AV950" s="196"/>
      <c r="AW950" s="85"/>
      <c r="AX950" s="85"/>
      <c r="AY950" s="39"/>
      <c r="AZ950" s="7">
        <v>336.7</v>
      </c>
      <c r="BA950" s="62"/>
      <c r="BB950" s="7">
        <v>1.6</v>
      </c>
      <c r="BC950" s="7">
        <v>6.7</v>
      </c>
      <c r="BD950" s="7"/>
      <c r="BE950" s="7"/>
      <c r="BF950" s="39"/>
      <c r="BG950" s="7"/>
      <c r="BH950" s="62"/>
      <c r="BI950" s="7"/>
      <c r="BJ950" s="32"/>
      <c r="BK950" s="54"/>
    </row>
    <row r="951" spans="1:63" ht="23.25" customHeight="1" x14ac:dyDescent="0.2">
      <c r="A951" s="7">
        <v>950</v>
      </c>
      <c r="B951" s="221"/>
      <c r="C951" s="221"/>
      <c r="D951" s="223"/>
      <c r="E951" s="54" t="s">
        <v>1699</v>
      </c>
      <c r="F951" s="16">
        <f t="shared" si="100"/>
        <v>82.642857142857139</v>
      </c>
      <c r="G951" s="8">
        <f>0.4*1.43*100/14</f>
        <v>4.0857142857142854</v>
      </c>
      <c r="H951" s="8">
        <f>0.6*1.43*100/14</f>
        <v>6.1285714285714281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17">
        <v>0</v>
      </c>
      <c r="T951" s="8">
        <f t="shared" si="98"/>
        <v>7.1428571428571432</v>
      </c>
      <c r="U951" s="8">
        <v>0</v>
      </c>
      <c r="V951" s="8">
        <v>0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14">
        <f t="shared" si="99"/>
        <v>100</v>
      </c>
      <c r="AE951" s="8">
        <v>11.6</v>
      </c>
      <c r="AF951" s="8">
        <v>0</v>
      </c>
      <c r="AG951" s="8">
        <v>0</v>
      </c>
      <c r="AH951" s="8">
        <v>0</v>
      </c>
      <c r="AI951" s="39" t="s">
        <v>1531</v>
      </c>
      <c r="AJ951" s="7"/>
      <c r="AK951" s="62"/>
      <c r="AL951" s="158"/>
      <c r="AM951" s="85"/>
      <c r="AN951" s="85"/>
      <c r="AO951" s="85"/>
      <c r="AP951" s="85"/>
      <c r="AQ951" s="85"/>
      <c r="AR951" s="85"/>
      <c r="AS951" s="85"/>
      <c r="AT951" s="205"/>
      <c r="AU951" s="85"/>
      <c r="AV951" s="196"/>
      <c r="AW951" s="85"/>
      <c r="AX951" s="85"/>
      <c r="AY951" s="39"/>
      <c r="AZ951" s="7">
        <v>345</v>
      </c>
      <c r="BA951" s="62"/>
      <c r="BB951" s="7">
        <v>1.6</v>
      </c>
      <c r="BC951" s="7">
        <v>4.9000000000000004</v>
      </c>
      <c r="BD951" s="7"/>
      <c r="BE951" s="7"/>
      <c r="BF951" s="39"/>
      <c r="BG951" s="7"/>
      <c r="BH951" s="62"/>
      <c r="BI951" s="7"/>
      <c r="BJ951" s="32"/>
      <c r="BK951" s="54"/>
    </row>
    <row r="952" spans="1:63" ht="23.25" customHeight="1" x14ac:dyDescent="0.2">
      <c r="A952" s="62">
        <v>951</v>
      </c>
      <c r="B952" s="221"/>
      <c r="C952" s="221"/>
      <c r="D952" s="223"/>
      <c r="E952" s="54" t="s">
        <v>1700</v>
      </c>
      <c r="F952" s="16">
        <f t="shared" si="100"/>
        <v>82.642857142857139</v>
      </c>
      <c r="G952" s="8">
        <f>0.2*1.43*100/14</f>
        <v>2.0428571428571427</v>
      </c>
      <c r="H952" s="8">
        <f>0.8*1.43*100/14</f>
        <v>8.1714285714285708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17">
        <v>0</v>
      </c>
      <c r="T952" s="8">
        <f t="shared" si="98"/>
        <v>7.1428571428571432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14">
        <f t="shared" si="99"/>
        <v>100</v>
      </c>
      <c r="AE952" s="8">
        <v>12.75</v>
      </c>
      <c r="AF952" s="8">
        <v>0</v>
      </c>
      <c r="AG952" s="8">
        <v>0</v>
      </c>
      <c r="AH952" s="8">
        <v>0</v>
      </c>
      <c r="AI952" s="39" t="s">
        <v>1531</v>
      </c>
      <c r="AJ952" s="7"/>
      <c r="AK952" s="62"/>
      <c r="AL952" s="158"/>
      <c r="AM952" s="85"/>
      <c r="AN952" s="85"/>
      <c r="AO952" s="85"/>
      <c r="AP952" s="85"/>
      <c r="AQ952" s="85"/>
      <c r="AR952" s="85"/>
      <c r="AS952" s="85"/>
      <c r="AT952" s="205"/>
      <c r="AU952" s="85"/>
      <c r="AV952" s="196"/>
      <c r="AW952" s="85"/>
      <c r="AX952" s="85"/>
      <c r="AY952" s="39"/>
      <c r="AZ952" s="7">
        <v>348.8</v>
      </c>
      <c r="BA952" s="62"/>
      <c r="BB952" s="7">
        <v>1.6</v>
      </c>
      <c r="BC952" s="7">
        <v>4.3</v>
      </c>
      <c r="BD952" s="7"/>
      <c r="BE952" s="7"/>
      <c r="BF952" s="39"/>
      <c r="BG952" s="7"/>
      <c r="BH952" s="62"/>
      <c r="BI952" s="7"/>
      <c r="BJ952" s="32"/>
      <c r="BK952" s="54"/>
    </row>
    <row r="953" spans="1:63" ht="23.25" customHeight="1" x14ac:dyDescent="0.2">
      <c r="A953" s="7">
        <v>952</v>
      </c>
      <c r="B953" s="221"/>
      <c r="C953" s="221"/>
      <c r="D953" s="223"/>
      <c r="E953" s="54" t="s">
        <v>1701</v>
      </c>
      <c r="F953" s="16">
        <f t="shared" si="100"/>
        <v>82.642857142857139</v>
      </c>
      <c r="G953" s="8">
        <f>0*1.43*100/14</f>
        <v>0</v>
      </c>
      <c r="H953" s="8">
        <f>1.43*100/14</f>
        <v>10.214285714285714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17">
        <v>0</v>
      </c>
      <c r="T953" s="8">
        <f t="shared" si="98"/>
        <v>7.1428571428571432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14">
        <f t="shared" si="99"/>
        <v>99.999999999999986</v>
      </c>
      <c r="AE953" s="8">
        <v>12.35</v>
      </c>
      <c r="AF953" s="8">
        <v>0</v>
      </c>
      <c r="AG953" s="8">
        <v>0</v>
      </c>
      <c r="AH953" s="8">
        <v>0</v>
      </c>
      <c r="AI953" s="39" t="s">
        <v>1531</v>
      </c>
      <c r="AJ953" s="7"/>
      <c r="AK953" s="62"/>
      <c r="AL953" s="158"/>
      <c r="AM953" s="85"/>
      <c r="AN953" s="85"/>
      <c r="AO953" s="85"/>
      <c r="AP953" s="85"/>
      <c r="AQ953" s="85"/>
      <c r="AR953" s="85"/>
      <c r="AS953" s="85"/>
      <c r="AT953" s="205"/>
      <c r="AU953" s="85"/>
      <c r="AV953" s="196"/>
      <c r="AW953" s="85"/>
      <c r="AX953" s="85"/>
      <c r="AY953" s="39"/>
      <c r="AZ953" s="7">
        <v>351.8</v>
      </c>
      <c r="BA953" s="62"/>
      <c r="BB953" s="7">
        <v>1.6</v>
      </c>
      <c r="BC953" s="7">
        <v>3.6</v>
      </c>
      <c r="BD953" s="7"/>
      <c r="BE953" s="7"/>
      <c r="BF953" s="39"/>
      <c r="BG953" s="7"/>
      <c r="BH953" s="62"/>
      <c r="BI953" s="7"/>
      <c r="BJ953" s="32"/>
      <c r="BK953" s="54"/>
    </row>
    <row r="954" spans="1:63" ht="23.25" customHeight="1" x14ac:dyDescent="0.2">
      <c r="A954" s="62">
        <v>953</v>
      </c>
      <c r="B954" s="221"/>
      <c r="C954" s="221"/>
      <c r="D954" s="223" t="s">
        <v>1707</v>
      </c>
      <c r="E954" s="54" t="s">
        <v>1696</v>
      </c>
      <c r="F954" s="16">
        <f>11.86*100/14</f>
        <v>84.714285714285708</v>
      </c>
      <c r="G954" s="8">
        <f>1.14*100/14</f>
        <v>8.1428571428571423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17">
        <v>0</v>
      </c>
      <c r="T954" s="8">
        <f t="shared" si="98"/>
        <v>7.1428571428571432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14">
        <f t="shared" si="99"/>
        <v>99.999999999999986</v>
      </c>
      <c r="AE954" s="8">
        <v>12.8</v>
      </c>
      <c r="AF954" s="8">
        <v>0</v>
      </c>
      <c r="AG954" s="8">
        <v>0</v>
      </c>
      <c r="AH954" s="8">
        <v>0</v>
      </c>
      <c r="AI954" s="39" t="s">
        <v>1531</v>
      </c>
      <c r="AJ954" s="7"/>
      <c r="AK954" s="62"/>
      <c r="AL954" s="158"/>
      <c r="AM954" s="85"/>
      <c r="AN954" s="85"/>
      <c r="AO954" s="85"/>
      <c r="AP954" s="85"/>
      <c r="AQ954" s="85"/>
      <c r="AR954" s="85"/>
      <c r="AS954" s="85"/>
      <c r="AT954" s="205"/>
      <c r="AU954" s="85"/>
      <c r="AV954" s="196"/>
      <c r="AW954" s="85"/>
      <c r="AX954" s="85"/>
      <c r="AY954" s="39"/>
      <c r="AZ954" s="7">
        <v>341.4</v>
      </c>
      <c r="BA954" s="62"/>
      <c r="BB954" s="7">
        <v>1.6</v>
      </c>
      <c r="BC954" s="7">
        <v>17.95</v>
      </c>
      <c r="BD954" s="7"/>
      <c r="BE954" s="7"/>
      <c r="BF954" s="39"/>
      <c r="BG954" s="7"/>
      <c r="BH954" s="62"/>
      <c r="BI954" s="7"/>
      <c r="BJ954" s="32"/>
      <c r="BK954" s="54"/>
    </row>
    <row r="955" spans="1:63" ht="23.25" customHeight="1" x14ac:dyDescent="0.2">
      <c r="A955" s="7">
        <v>954</v>
      </c>
      <c r="B955" s="221"/>
      <c r="C955" s="221"/>
      <c r="D955" s="223"/>
      <c r="E955" s="54" t="s">
        <v>1697</v>
      </c>
      <c r="F955" s="16">
        <f t="shared" ref="F955:F959" si="101">11.86*100/14</f>
        <v>84.714285714285708</v>
      </c>
      <c r="G955" s="8">
        <f>0.8*1.14*100/14</f>
        <v>6.5142857142857133</v>
      </c>
      <c r="H955" s="8">
        <f>0.2*1.14*100/14</f>
        <v>1.6285714285714283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17">
        <v>0</v>
      </c>
      <c r="T955" s="8">
        <f t="shared" si="98"/>
        <v>7.1428571428571432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14">
        <f t="shared" si="99"/>
        <v>100</v>
      </c>
      <c r="AE955" s="8">
        <v>12.84</v>
      </c>
      <c r="AF955" s="8">
        <v>0</v>
      </c>
      <c r="AG955" s="8">
        <v>0</v>
      </c>
      <c r="AH955" s="8">
        <v>0</v>
      </c>
      <c r="AI955" s="39" t="s">
        <v>1531</v>
      </c>
      <c r="AJ955" s="7"/>
      <c r="AK955" s="62"/>
      <c r="AL955" s="158"/>
      <c r="AM955" s="85"/>
      <c r="AN955" s="85"/>
      <c r="AO955" s="85"/>
      <c r="AP955" s="85"/>
      <c r="AQ955" s="85"/>
      <c r="AR955" s="85"/>
      <c r="AS955" s="85"/>
      <c r="AT955" s="205"/>
      <c r="AU955" s="85"/>
      <c r="AV955" s="196"/>
      <c r="AW955" s="85"/>
      <c r="AX955" s="85"/>
      <c r="AY955" s="39"/>
      <c r="AZ955" s="7">
        <v>349.5</v>
      </c>
      <c r="BA955" s="62"/>
      <c r="BB955" s="7">
        <v>1.6</v>
      </c>
      <c r="BC955" s="7">
        <v>11.65</v>
      </c>
      <c r="BD955" s="7"/>
      <c r="BE955" s="7"/>
      <c r="BF955" s="39"/>
      <c r="BG955" s="7"/>
      <c r="BH955" s="62"/>
      <c r="BI955" s="7"/>
      <c r="BJ955" s="32"/>
      <c r="BK955" s="54"/>
    </row>
    <row r="956" spans="1:63" ht="23.25" customHeight="1" x14ac:dyDescent="0.2">
      <c r="A956" s="62">
        <v>955</v>
      </c>
      <c r="B956" s="221"/>
      <c r="C956" s="221"/>
      <c r="D956" s="223"/>
      <c r="E956" s="54" t="s">
        <v>1698</v>
      </c>
      <c r="F956" s="16">
        <f t="shared" si="101"/>
        <v>84.714285714285708</v>
      </c>
      <c r="G956" s="8">
        <f>0.6*1.14*100/14</f>
        <v>4.8857142857142852</v>
      </c>
      <c r="H956" s="8">
        <f>0.4*1.14*100/14</f>
        <v>3.2571428571428567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17">
        <v>0</v>
      </c>
      <c r="T956" s="8">
        <f t="shared" si="98"/>
        <v>7.1428571428571432</v>
      </c>
      <c r="U956" s="8">
        <v>0</v>
      </c>
      <c r="V956" s="8">
        <v>0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14">
        <f t="shared" si="99"/>
        <v>99.999999999999986</v>
      </c>
      <c r="AE956" s="8">
        <v>13.07</v>
      </c>
      <c r="AF956" s="8">
        <v>0</v>
      </c>
      <c r="AG956" s="8">
        <v>0</v>
      </c>
      <c r="AH956" s="8">
        <v>0</v>
      </c>
      <c r="AI956" s="39" t="s">
        <v>1531</v>
      </c>
      <c r="AJ956" s="7"/>
      <c r="AK956" s="62"/>
      <c r="AL956" s="158"/>
      <c r="AM956" s="85"/>
      <c r="AN956" s="85"/>
      <c r="AO956" s="85"/>
      <c r="AP956" s="85"/>
      <c r="AQ956" s="85"/>
      <c r="AR956" s="85"/>
      <c r="AS956" s="85"/>
      <c r="AT956" s="205"/>
      <c r="AU956" s="85"/>
      <c r="AV956" s="196"/>
      <c r="AW956" s="85"/>
      <c r="AX956" s="85"/>
      <c r="AY956" s="39"/>
      <c r="AZ956" s="7">
        <v>352.4</v>
      </c>
      <c r="BA956" s="62"/>
      <c r="BB956" s="7">
        <v>1.6</v>
      </c>
      <c r="BC956" s="7">
        <v>7.4</v>
      </c>
      <c r="BD956" s="7"/>
      <c r="BE956" s="7"/>
      <c r="BF956" s="39"/>
      <c r="BG956" s="7"/>
      <c r="BH956" s="62"/>
      <c r="BI956" s="7"/>
      <c r="BJ956" s="32"/>
      <c r="BK956" s="54"/>
    </row>
    <row r="957" spans="1:63" ht="23.25" customHeight="1" x14ac:dyDescent="0.2">
      <c r="A957" s="7">
        <v>956</v>
      </c>
      <c r="B957" s="221"/>
      <c r="C957" s="221"/>
      <c r="D957" s="223"/>
      <c r="E957" s="54" t="s">
        <v>1699</v>
      </c>
      <c r="F957" s="16">
        <f t="shared" si="101"/>
        <v>84.714285714285708</v>
      </c>
      <c r="G957" s="8">
        <f>0.4*1.14*100/14</f>
        <v>3.2571428571428567</v>
      </c>
      <c r="H957" s="8">
        <f>0.6*1.14*100/14</f>
        <v>4.8857142857142852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17">
        <v>0</v>
      </c>
      <c r="T957" s="8">
        <f t="shared" si="98"/>
        <v>7.1428571428571432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14">
        <f t="shared" si="99"/>
        <v>99.999999999999986</v>
      </c>
      <c r="AE957" s="8">
        <v>13.83</v>
      </c>
      <c r="AF957" s="8">
        <v>0</v>
      </c>
      <c r="AG957" s="8">
        <v>0</v>
      </c>
      <c r="AH957" s="8">
        <v>0</v>
      </c>
      <c r="AI957" s="39" t="s">
        <v>1531</v>
      </c>
      <c r="AJ957" s="7"/>
      <c r="AK957" s="62"/>
      <c r="AL957" s="158"/>
      <c r="AM957" s="85"/>
      <c r="AN957" s="85"/>
      <c r="AO957" s="85"/>
      <c r="AP957" s="85"/>
      <c r="AQ957" s="85"/>
      <c r="AR957" s="85"/>
      <c r="AS957" s="85"/>
      <c r="AT957" s="205"/>
      <c r="AU957" s="85"/>
      <c r="AV957" s="196"/>
      <c r="AW957" s="85"/>
      <c r="AX957" s="85"/>
      <c r="AY957" s="39"/>
      <c r="AZ957" s="7">
        <v>367.4</v>
      </c>
      <c r="BA957" s="62"/>
      <c r="BB957" s="7">
        <v>1.6</v>
      </c>
      <c r="BC957" s="7">
        <v>5.0999999999999996</v>
      </c>
      <c r="BD957" s="7"/>
      <c r="BE957" s="7"/>
      <c r="BF957" s="39"/>
      <c r="BG957" s="7"/>
      <c r="BH957" s="62"/>
      <c r="BI957" s="7"/>
      <c r="BJ957" s="32"/>
      <c r="BK957" s="54"/>
    </row>
    <row r="958" spans="1:63" ht="23.25" customHeight="1" x14ac:dyDescent="0.2">
      <c r="A958" s="62">
        <v>957</v>
      </c>
      <c r="B958" s="221"/>
      <c r="C958" s="221"/>
      <c r="D958" s="223"/>
      <c r="E958" s="54" t="s">
        <v>1700</v>
      </c>
      <c r="F958" s="16">
        <f t="shared" si="101"/>
        <v>84.714285714285708</v>
      </c>
      <c r="G958" s="8">
        <f>0.2*1.14*100/14</f>
        <v>1.6285714285714283</v>
      </c>
      <c r="H958" s="8">
        <f>0.8*1.14*100/14</f>
        <v>6.5142857142857133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17">
        <v>0</v>
      </c>
      <c r="T958" s="8">
        <f t="shared" si="98"/>
        <v>7.1428571428571432</v>
      </c>
      <c r="U958" s="8">
        <v>0</v>
      </c>
      <c r="V958" s="8">
        <v>0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14">
        <f t="shared" si="99"/>
        <v>100</v>
      </c>
      <c r="AE958" s="8">
        <v>14.81</v>
      </c>
      <c r="AF958" s="8">
        <v>0</v>
      </c>
      <c r="AG958" s="8">
        <v>0</v>
      </c>
      <c r="AH958" s="8">
        <v>0</v>
      </c>
      <c r="AI958" s="39" t="s">
        <v>1531</v>
      </c>
      <c r="AJ958" s="7"/>
      <c r="AK958" s="62"/>
      <c r="AL958" s="158"/>
      <c r="AM958" s="85"/>
      <c r="AN958" s="85"/>
      <c r="AO958" s="85"/>
      <c r="AP958" s="85"/>
      <c r="AQ958" s="85"/>
      <c r="AR958" s="85"/>
      <c r="AS958" s="85"/>
      <c r="AT958" s="205"/>
      <c r="AU958" s="85"/>
      <c r="AV958" s="196"/>
      <c r="AW958" s="85"/>
      <c r="AX958" s="85"/>
      <c r="AY958" s="39"/>
      <c r="AZ958" s="7">
        <v>371.8</v>
      </c>
      <c r="BA958" s="62"/>
      <c r="BB958" s="7">
        <v>1.6</v>
      </c>
      <c r="BC958" s="7">
        <v>4.3</v>
      </c>
      <c r="BD958" s="7"/>
      <c r="BE958" s="7"/>
      <c r="BF958" s="39"/>
      <c r="BG958" s="7"/>
      <c r="BH958" s="62"/>
      <c r="BI958" s="7"/>
      <c r="BJ958" s="32"/>
      <c r="BK958" s="54"/>
    </row>
    <row r="959" spans="1:63" ht="23.25" customHeight="1" x14ac:dyDescent="0.2">
      <c r="A959" s="7">
        <v>958</v>
      </c>
      <c r="B959" s="221"/>
      <c r="C959" s="221"/>
      <c r="D959" s="223"/>
      <c r="E959" s="54" t="s">
        <v>1701</v>
      </c>
      <c r="F959" s="16">
        <f t="shared" si="101"/>
        <v>84.714285714285708</v>
      </c>
      <c r="G959" s="8">
        <v>0</v>
      </c>
      <c r="H959" s="8">
        <f>1.14*100/14</f>
        <v>8.1428571428571423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17">
        <v>0</v>
      </c>
      <c r="T959" s="8">
        <f t="shared" si="98"/>
        <v>7.1428571428571432</v>
      </c>
      <c r="U959" s="8">
        <v>0</v>
      </c>
      <c r="V959" s="8">
        <v>0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14">
        <f t="shared" si="99"/>
        <v>99.999999999999986</v>
      </c>
      <c r="AE959" s="8">
        <v>15.11</v>
      </c>
      <c r="AF959" s="8">
        <v>0</v>
      </c>
      <c r="AG959" s="8">
        <v>0</v>
      </c>
      <c r="AH959" s="8">
        <v>0</v>
      </c>
      <c r="AI959" s="39" t="s">
        <v>1531</v>
      </c>
      <c r="AJ959" s="7"/>
      <c r="AK959" s="62"/>
      <c r="AL959" s="158"/>
      <c r="AM959" s="85"/>
      <c r="AN959" s="85"/>
      <c r="AO959" s="85"/>
      <c r="AP959" s="85"/>
      <c r="AQ959" s="85"/>
      <c r="AR959" s="85"/>
      <c r="AS959" s="85"/>
      <c r="AT959" s="205"/>
      <c r="AU959" s="85"/>
      <c r="AV959" s="196"/>
      <c r="AW959" s="85"/>
      <c r="AX959" s="85"/>
      <c r="AY959" s="39"/>
      <c r="AZ959" s="7">
        <v>375.7</v>
      </c>
      <c r="BA959" s="62"/>
      <c r="BB959" s="7">
        <v>1.6</v>
      </c>
      <c r="BC959" s="7">
        <v>3.8</v>
      </c>
      <c r="BD959" s="7"/>
      <c r="BE959" s="7"/>
      <c r="BF959" s="39"/>
      <c r="BG959" s="7"/>
      <c r="BH959" s="62"/>
      <c r="BI959" s="7"/>
      <c r="BJ959" s="32"/>
      <c r="BK959" s="54"/>
    </row>
    <row r="960" spans="1:63" ht="23.25" customHeight="1" x14ac:dyDescent="0.2">
      <c r="A960" s="62">
        <v>959</v>
      </c>
      <c r="B960" s="221"/>
      <c r="C960" s="221"/>
      <c r="D960" s="223" t="s">
        <v>1704</v>
      </c>
      <c r="E960" s="54" t="s">
        <v>1696</v>
      </c>
      <c r="F960" s="16">
        <f t="shared" ref="F960:F965" si="102">11.29*100/14</f>
        <v>80.642857142857139</v>
      </c>
      <c r="G960" s="8">
        <f>1.71*100/14</f>
        <v>12.214285714285714</v>
      </c>
      <c r="H960" s="8">
        <f>0*1.71*100/14</f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17">
        <v>0</v>
      </c>
      <c r="T960" s="8">
        <f t="shared" si="98"/>
        <v>7.1428571428571432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  <c r="AD960" s="14">
        <f t="shared" si="99"/>
        <v>99.999999999999986</v>
      </c>
      <c r="AE960" s="8">
        <v>0</v>
      </c>
      <c r="AF960" s="8">
        <v>0</v>
      </c>
      <c r="AG960" s="8">
        <v>0</v>
      </c>
      <c r="AH960" s="8">
        <v>0</v>
      </c>
      <c r="AJ960" s="7"/>
      <c r="AK960" s="62"/>
      <c r="AL960" s="158"/>
      <c r="AM960" s="85"/>
      <c r="AN960" s="85"/>
      <c r="AO960" s="85"/>
      <c r="AP960" s="85"/>
      <c r="AQ960" s="85"/>
      <c r="AR960" s="85"/>
      <c r="AS960" s="85"/>
      <c r="AT960" s="205"/>
      <c r="AU960" s="85"/>
      <c r="AV960" s="196"/>
      <c r="AW960" s="85"/>
      <c r="AX960" s="85"/>
      <c r="AY960" s="39"/>
      <c r="AZ960" s="7">
        <v>207.2</v>
      </c>
      <c r="BA960" s="62"/>
      <c r="BB960" s="7"/>
      <c r="BC960" s="7"/>
      <c r="BD960" s="7"/>
      <c r="BE960" s="7"/>
      <c r="BF960" s="39"/>
      <c r="BG960" s="7"/>
      <c r="BH960" s="62"/>
      <c r="BI960" s="7"/>
      <c r="BJ960" s="32"/>
      <c r="BK960" s="54"/>
    </row>
    <row r="961" spans="1:63" ht="23.25" customHeight="1" x14ac:dyDescent="0.2">
      <c r="A961" s="7">
        <v>960</v>
      </c>
      <c r="B961" s="221"/>
      <c r="C961" s="221"/>
      <c r="D961" s="223"/>
      <c r="E961" s="54" t="s">
        <v>1697</v>
      </c>
      <c r="F961" s="16">
        <f t="shared" si="102"/>
        <v>80.642857142857139</v>
      </c>
      <c r="G961" s="8">
        <f>0.8*1.71*100/14</f>
        <v>9.7714285714285722</v>
      </c>
      <c r="H961" s="8">
        <f>0.2*1.71*100/14</f>
        <v>2.4428571428571431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17">
        <v>0</v>
      </c>
      <c r="T961" s="8">
        <f t="shared" si="98"/>
        <v>7.1428571428571432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14">
        <f t="shared" si="99"/>
        <v>100</v>
      </c>
      <c r="AE961" s="8">
        <v>0</v>
      </c>
      <c r="AF961" s="8">
        <v>0</v>
      </c>
      <c r="AG961" s="8">
        <v>0</v>
      </c>
      <c r="AH961" s="8">
        <v>0</v>
      </c>
      <c r="AJ961" s="7"/>
      <c r="AK961" s="62"/>
      <c r="AL961" s="158"/>
      <c r="AM961" s="85"/>
      <c r="AN961" s="85"/>
      <c r="AO961" s="85"/>
      <c r="AP961" s="85"/>
      <c r="AQ961" s="85"/>
      <c r="AR961" s="85"/>
      <c r="AS961" s="85"/>
      <c r="AT961" s="205"/>
      <c r="AU961" s="85"/>
      <c r="AV961" s="196"/>
      <c r="AW961" s="85"/>
      <c r="AX961" s="85"/>
      <c r="AY961" s="39"/>
      <c r="AZ961" s="7">
        <v>203.6</v>
      </c>
      <c r="BA961" s="62"/>
      <c r="BB961" s="7"/>
      <c r="BC961" s="7"/>
      <c r="BD961" s="7"/>
      <c r="BE961" s="7"/>
      <c r="BF961" s="39"/>
      <c r="BG961" s="7"/>
      <c r="BH961" s="62"/>
      <c r="BI961" s="7"/>
      <c r="BJ961" s="32"/>
      <c r="BK961" s="54"/>
    </row>
    <row r="962" spans="1:63" ht="23.25" customHeight="1" x14ac:dyDescent="0.2">
      <c r="A962" s="62">
        <v>961</v>
      </c>
      <c r="B962" s="221"/>
      <c r="C962" s="221"/>
      <c r="D962" s="223"/>
      <c r="E962" s="54" t="s">
        <v>1698</v>
      </c>
      <c r="F962" s="16">
        <f t="shared" si="102"/>
        <v>80.642857142857139</v>
      </c>
      <c r="G962" s="8">
        <f>0.6*1.71*100/14</f>
        <v>7.3285714285714292</v>
      </c>
      <c r="H962" s="8">
        <f>0.4*1.71*100/14</f>
        <v>4.8857142857142861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17">
        <v>0</v>
      </c>
      <c r="T962" s="8">
        <f t="shared" si="98"/>
        <v>7.1428571428571432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14">
        <f t="shared" si="99"/>
        <v>99.999999999999986</v>
      </c>
      <c r="AE962" s="8">
        <v>0</v>
      </c>
      <c r="AF962" s="8">
        <v>0</v>
      </c>
      <c r="AG962" s="8">
        <v>0</v>
      </c>
      <c r="AH962" s="8">
        <v>0</v>
      </c>
      <c r="AJ962" s="7"/>
      <c r="AK962" s="62"/>
      <c r="AL962" s="158"/>
      <c r="AM962" s="85"/>
      <c r="AN962" s="85"/>
      <c r="AO962" s="85"/>
      <c r="AP962" s="85"/>
      <c r="AQ962" s="85"/>
      <c r="AR962" s="85"/>
      <c r="AS962" s="85"/>
      <c r="AT962" s="205"/>
      <c r="AU962" s="85"/>
      <c r="AV962" s="196"/>
      <c r="AW962" s="85"/>
      <c r="AX962" s="85"/>
      <c r="AY962" s="39"/>
      <c r="AZ962" s="7">
        <v>201.6</v>
      </c>
      <c r="BA962" s="62"/>
      <c r="BB962" s="7"/>
      <c r="BC962" s="7"/>
      <c r="BD962" s="7"/>
      <c r="BE962" s="7"/>
      <c r="BF962" s="39"/>
      <c r="BG962" s="7"/>
      <c r="BH962" s="62"/>
      <c r="BI962" s="7"/>
      <c r="BJ962" s="32"/>
      <c r="BK962" s="54"/>
    </row>
    <row r="963" spans="1:63" ht="23.25" customHeight="1" x14ac:dyDescent="0.2">
      <c r="A963" s="7">
        <v>962</v>
      </c>
      <c r="B963" s="221"/>
      <c r="C963" s="221"/>
      <c r="D963" s="223"/>
      <c r="E963" s="54" t="s">
        <v>1699</v>
      </c>
      <c r="F963" s="16">
        <f t="shared" si="102"/>
        <v>80.642857142857139</v>
      </c>
      <c r="G963" s="8">
        <f>0.4*1.71*100/14</f>
        <v>4.8857142857142861</v>
      </c>
      <c r="H963" s="8">
        <f>0.6*1.71*100/14</f>
        <v>7.3285714285714292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17">
        <v>0</v>
      </c>
      <c r="T963" s="8">
        <f t="shared" si="98"/>
        <v>7.1428571428571432</v>
      </c>
      <c r="U963" s="8">
        <v>0</v>
      </c>
      <c r="V963" s="8">
        <v>0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14">
        <f t="shared" si="99"/>
        <v>100</v>
      </c>
      <c r="AE963" s="8">
        <v>0</v>
      </c>
      <c r="AF963" s="8">
        <v>0</v>
      </c>
      <c r="AG963" s="8">
        <v>0</v>
      </c>
      <c r="AH963" s="8">
        <v>0</v>
      </c>
      <c r="AJ963" s="7"/>
      <c r="AK963" s="62"/>
      <c r="AL963" s="158"/>
      <c r="AM963" s="85"/>
      <c r="AN963" s="85"/>
      <c r="AO963" s="85"/>
      <c r="AP963" s="85"/>
      <c r="AQ963" s="85"/>
      <c r="AR963" s="85"/>
      <c r="AS963" s="85"/>
      <c r="AT963" s="205"/>
      <c r="AU963" s="85"/>
      <c r="AV963" s="196"/>
      <c r="AW963" s="85"/>
      <c r="AX963" s="85"/>
      <c r="AY963" s="39"/>
      <c r="AZ963" s="7">
        <v>194.25</v>
      </c>
      <c r="BA963" s="62"/>
      <c r="BB963" s="7"/>
      <c r="BC963" s="7"/>
      <c r="BD963" s="7"/>
      <c r="BE963" s="7"/>
      <c r="BF963" s="39"/>
      <c r="BG963" s="7"/>
      <c r="BH963" s="62"/>
      <c r="BI963" s="7"/>
      <c r="BJ963" s="32"/>
      <c r="BK963" s="54"/>
    </row>
    <row r="964" spans="1:63" ht="23.25" customHeight="1" x14ac:dyDescent="0.2">
      <c r="A964" s="62">
        <v>963</v>
      </c>
      <c r="B964" s="221"/>
      <c r="C964" s="221"/>
      <c r="D964" s="223"/>
      <c r="E964" s="54" t="s">
        <v>1700</v>
      </c>
      <c r="F964" s="16">
        <f t="shared" si="102"/>
        <v>80.642857142857139</v>
      </c>
      <c r="G964" s="8">
        <f>0.2*1.71*100/14</f>
        <v>2.4428571428571431</v>
      </c>
      <c r="H964" s="8">
        <f>0.8*1.71*100/14</f>
        <v>9.7714285714285722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17">
        <v>0</v>
      </c>
      <c r="T964" s="8">
        <f t="shared" si="98"/>
        <v>7.1428571428571432</v>
      </c>
      <c r="U964" s="8">
        <v>0</v>
      </c>
      <c r="V964" s="8">
        <v>0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14">
        <f t="shared" si="99"/>
        <v>100</v>
      </c>
      <c r="AE964" s="8">
        <v>0</v>
      </c>
      <c r="AF964" s="8">
        <v>0</v>
      </c>
      <c r="AG964" s="8">
        <v>0</v>
      </c>
      <c r="AH964" s="8">
        <v>0</v>
      </c>
      <c r="AJ964" s="7"/>
      <c r="AK964" s="62"/>
      <c r="AL964" s="158"/>
      <c r="AM964" s="85"/>
      <c r="AN964" s="85"/>
      <c r="AO964" s="85"/>
      <c r="AP964" s="85"/>
      <c r="AQ964" s="85"/>
      <c r="AR964" s="85"/>
      <c r="AS964" s="85"/>
      <c r="AT964" s="205"/>
      <c r="AU964" s="85"/>
      <c r="AV964" s="196"/>
      <c r="AW964" s="85"/>
      <c r="AX964" s="85"/>
      <c r="AY964" s="39"/>
      <c r="AZ964" s="7">
        <v>186.35</v>
      </c>
      <c r="BA964" s="62"/>
      <c r="BB964" s="7"/>
      <c r="BC964" s="7"/>
      <c r="BD964" s="7"/>
      <c r="BE964" s="7"/>
      <c r="BF964" s="39"/>
      <c r="BG964" s="7"/>
      <c r="BH964" s="62"/>
      <c r="BI964" s="7"/>
      <c r="BJ964" s="32"/>
      <c r="BK964" s="54"/>
    </row>
    <row r="965" spans="1:63" ht="23.25" customHeight="1" x14ac:dyDescent="0.2">
      <c r="A965" s="7">
        <v>964</v>
      </c>
      <c r="B965" s="221"/>
      <c r="C965" s="221"/>
      <c r="D965" s="223"/>
      <c r="E965" s="54" t="s">
        <v>1701</v>
      </c>
      <c r="F965" s="16">
        <f t="shared" si="102"/>
        <v>80.642857142857139</v>
      </c>
      <c r="G965" s="8">
        <f>0*1.71*100/14</f>
        <v>0</v>
      </c>
      <c r="H965" s="8">
        <f>1.71*100/14</f>
        <v>12.214285714285714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17">
        <v>0</v>
      </c>
      <c r="T965" s="8">
        <f t="shared" si="98"/>
        <v>7.1428571428571432</v>
      </c>
      <c r="U965" s="8">
        <v>0</v>
      </c>
      <c r="V965" s="8">
        <v>0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  <c r="AB965" s="8">
        <v>0</v>
      </c>
      <c r="AC965" s="8">
        <v>0</v>
      </c>
      <c r="AD965" s="14">
        <f t="shared" si="99"/>
        <v>99.999999999999986</v>
      </c>
      <c r="AE965" s="8">
        <v>0</v>
      </c>
      <c r="AF965" s="8">
        <v>0</v>
      </c>
      <c r="AG965" s="8">
        <v>0</v>
      </c>
      <c r="AH965" s="8">
        <v>0</v>
      </c>
      <c r="AJ965" s="7"/>
      <c r="AK965" s="62"/>
      <c r="AL965" s="158"/>
      <c r="AM965" s="85"/>
      <c r="AN965" s="85"/>
      <c r="AO965" s="85"/>
      <c r="AP965" s="85"/>
      <c r="AQ965" s="85"/>
      <c r="AR965" s="85"/>
      <c r="AS965" s="85"/>
      <c r="AT965" s="205"/>
      <c r="AU965" s="85"/>
      <c r="AV965" s="196"/>
      <c r="AW965" s="85"/>
      <c r="AX965" s="85"/>
      <c r="AY965" s="39"/>
      <c r="AZ965" s="7">
        <v>188.7</v>
      </c>
      <c r="BA965" s="62"/>
      <c r="BB965" s="7"/>
      <c r="BC965" s="7"/>
      <c r="BD965" s="7"/>
      <c r="BE965" s="7"/>
      <c r="BF965" s="39"/>
      <c r="BG965" s="7"/>
      <c r="BH965" s="62"/>
      <c r="BI965" s="7"/>
      <c r="BJ965" s="32"/>
      <c r="BK965" s="54"/>
    </row>
    <row r="966" spans="1:63" ht="23.25" customHeight="1" x14ac:dyDescent="0.2">
      <c r="A966" s="62">
        <v>965</v>
      </c>
      <c r="B966" s="221"/>
      <c r="C966" s="221"/>
      <c r="D966" s="223" t="s">
        <v>1702</v>
      </c>
      <c r="E966" s="54" t="s">
        <v>1696</v>
      </c>
      <c r="F966" s="16">
        <f>11.57*100/14</f>
        <v>82.642857142857139</v>
      </c>
      <c r="G966" s="8">
        <f>1.43*100/14</f>
        <v>10.214285714285714</v>
      </c>
      <c r="H966" s="8">
        <f>0*1.43*100/14</f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17">
        <v>0</v>
      </c>
      <c r="T966" s="8">
        <f t="shared" si="98"/>
        <v>7.1428571428571432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>
        <v>0</v>
      </c>
      <c r="AC966" s="8">
        <v>0</v>
      </c>
      <c r="AD966" s="14">
        <f t="shared" si="99"/>
        <v>99.999999999999986</v>
      </c>
      <c r="AE966" s="8">
        <v>0</v>
      </c>
      <c r="AF966" s="8">
        <v>0</v>
      </c>
      <c r="AG966" s="8">
        <v>0</v>
      </c>
      <c r="AH966" s="8">
        <v>0</v>
      </c>
      <c r="AJ966" s="7"/>
      <c r="AK966" s="62"/>
      <c r="AL966" s="158"/>
      <c r="AM966" s="85"/>
      <c r="AN966" s="85"/>
      <c r="AO966" s="85"/>
      <c r="AP966" s="85"/>
      <c r="AQ966" s="85"/>
      <c r="AR966" s="85"/>
      <c r="AS966" s="85"/>
      <c r="AT966" s="205"/>
      <c r="AU966" s="85"/>
      <c r="AV966" s="196"/>
      <c r="AW966" s="85"/>
      <c r="AX966" s="85"/>
      <c r="AY966" s="39"/>
      <c r="AZ966" s="7">
        <v>192.9</v>
      </c>
      <c r="BA966" s="62"/>
      <c r="BB966" s="7"/>
      <c r="BC966" s="7"/>
      <c r="BD966" s="7"/>
      <c r="BE966" s="7"/>
      <c r="BF966" s="39"/>
      <c r="BG966" s="7"/>
      <c r="BH966" s="62"/>
      <c r="BI966" s="7"/>
      <c r="BJ966" s="32"/>
      <c r="BK966" s="54"/>
    </row>
    <row r="967" spans="1:63" ht="23.25" customHeight="1" x14ac:dyDescent="0.2">
      <c r="A967" s="7">
        <v>966</v>
      </c>
      <c r="B967" s="221"/>
      <c r="C967" s="221"/>
      <c r="D967" s="223"/>
      <c r="E967" s="54" t="s">
        <v>1697</v>
      </c>
      <c r="F967" s="16">
        <f t="shared" ref="F967:F971" si="103">11.57*100/14</f>
        <v>82.642857142857139</v>
      </c>
      <c r="G967" s="8">
        <f>0.8*1.43*100/14</f>
        <v>8.1714285714285708</v>
      </c>
      <c r="H967" s="8">
        <f>0.2*1.43*100/14</f>
        <v>2.0428571428571427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17">
        <v>0</v>
      </c>
      <c r="T967" s="8">
        <f t="shared" si="98"/>
        <v>7.1428571428571432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14">
        <f t="shared" si="99"/>
        <v>100</v>
      </c>
      <c r="AE967" s="8">
        <v>0</v>
      </c>
      <c r="AF967" s="8">
        <v>0</v>
      </c>
      <c r="AG967" s="8">
        <v>0</v>
      </c>
      <c r="AH967" s="8">
        <v>0</v>
      </c>
      <c r="AJ967" s="7"/>
      <c r="AK967" s="62"/>
      <c r="AL967" s="158"/>
      <c r="AM967" s="85"/>
      <c r="AN967" s="85"/>
      <c r="AO967" s="85"/>
      <c r="AP967" s="85"/>
      <c r="AQ967" s="85"/>
      <c r="AR967" s="85"/>
      <c r="AS967" s="85"/>
      <c r="AT967" s="205"/>
      <c r="AU967" s="85"/>
      <c r="AV967" s="196"/>
      <c r="AW967" s="85"/>
      <c r="AX967" s="85"/>
      <c r="AY967" s="39"/>
      <c r="AZ967" s="7">
        <v>186.2</v>
      </c>
      <c r="BA967" s="62"/>
      <c r="BB967" s="7"/>
      <c r="BC967" s="7"/>
      <c r="BD967" s="7"/>
      <c r="BE967" s="7"/>
      <c r="BF967" s="39"/>
      <c r="BG967" s="7"/>
      <c r="BH967" s="62"/>
      <c r="BI967" s="7"/>
      <c r="BJ967" s="32"/>
      <c r="BK967" s="54"/>
    </row>
    <row r="968" spans="1:63" ht="23.25" customHeight="1" x14ac:dyDescent="0.2">
      <c r="A968" s="62">
        <v>967</v>
      </c>
      <c r="B968" s="221"/>
      <c r="C968" s="221"/>
      <c r="D968" s="223"/>
      <c r="E968" s="54" t="s">
        <v>1698</v>
      </c>
      <c r="F968" s="16">
        <f t="shared" si="103"/>
        <v>82.642857142857139</v>
      </c>
      <c r="G968" s="8">
        <f>0.6*1.43*100/14</f>
        <v>6.1285714285714281</v>
      </c>
      <c r="H968" s="8">
        <f>0.4*1.43*100/14</f>
        <v>4.0857142857142854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17">
        <v>0</v>
      </c>
      <c r="T968" s="8">
        <f t="shared" si="98"/>
        <v>7.1428571428571432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14">
        <f t="shared" si="99"/>
        <v>100</v>
      </c>
      <c r="AE968" s="8">
        <v>0</v>
      </c>
      <c r="AF968" s="8">
        <v>0</v>
      </c>
      <c r="AG968" s="8">
        <v>0</v>
      </c>
      <c r="AH968" s="8">
        <v>0</v>
      </c>
      <c r="AJ968" s="7"/>
      <c r="AK968" s="62"/>
      <c r="AL968" s="158"/>
      <c r="AM968" s="85"/>
      <c r="AN968" s="85"/>
      <c r="AO968" s="85"/>
      <c r="AP968" s="85"/>
      <c r="AQ968" s="85"/>
      <c r="AR968" s="85"/>
      <c r="AS968" s="85"/>
      <c r="AT968" s="205"/>
      <c r="AU968" s="85"/>
      <c r="AV968" s="196"/>
      <c r="AW968" s="85"/>
      <c r="AX968" s="85"/>
      <c r="AY968" s="39"/>
      <c r="AZ968" s="7">
        <v>182</v>
      </c>
      <c r="BA968" s="62"/>
      <c r="BB968" s="7"/>
      <c r="BC968" s="7"/>
      <c r="BD968" s="7"/>
      <c r="BE968" s="7"/>
      <c r="BF968" s="39"/>
      <c r="BG968" s="7"/>
      <c r="BH968" s="62"/>
      <c r="BI968" s="7"/>
      <c r="BJ968" s="32"/>
      <c r="BK968" s="54"/>
    </row>
    <row r="969" spans="1:63" ht="23.25" customHeight="1" x14ac:dyDescent="0.2">
      <c r="A969" s="7">
        <v>968</v>
      </c>
      <c r="B969" s="221"/>
      <c r="C969" s="221"/>
      <c r="D969" s="223"/>
      <c r="E969" s="54" t="s">
        <v>1699</v>
      </c>
      <c r="F969" s="16">
        <f t="shared" si="103"/>
        <v>82.642857142857139</v>
      </c>
      <c r="G969" s="8">
        <f>0.4*1.43*100/14</f>
        <v>4.0857142857142854</v>
      </c>
      <c r="H969" s="8">
        <f>0.6*1.43*100/14</f>
        <v>6.1285714285714281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17">
        <v>0</v>
      </c>
      <c r="T969" s="8">
        <f t="shared" si="98"/>
        <v>7.1428571428571432</v>
      </c>
      <c r="U969" s="8">
        <v>0</v>
      </c>
      <c r="V969" s="8">
        <v>0</v>
      </c>
      <c r="W969" s="8">
        <v>0</v>
      </c>
      <c r="X969" s="8">
        <v>0</v>
      </c>
      <c r="Y969" s="8">
        <v>0</v>
      </c>
      <c r="Z969" s="8">
        <v>0</v>
      </c>
      <c r="AA969" s="8">
        <v>0</v>
      </c>
      <c r="AB969" s="8">
        <v>0</v>
      </c>
      <c r="AC969" s="8">
        <v>0</v>
      </c>
      <c r="AD969" s="14">
        <f t="shared" si="99"/>
        <v>100</v>
      </c>
      <c r="AE969" s="8">
        <v>0</v>
      </c>
      <c r="AF969" s="8">
        <v>0</v>
      </c>
      <c r="AG969" s="8">
        <v>0</v>
      </c>
      <c r="AH969" s="8">
        <v>0</v>
      </c>
      <c r="AJ969" s="7"/>
      <c r="AK969" s="62"/>
      <c r="AL969" s="158"/>
      <c r="AM969" s="85"/>
      <c r="AN969" s="85"/>
      <c r="AO969" s="85"/>
      <c r="AP969" s="85"/>
      <c r="AQ969" s="85"/>
      <c r="AR969" s="85"/>
      <c r="AS969" s="85"/>
      <c r="AT969" s="205"/>
      <c r="AU969" s="85"/>
      <c r="AV969" s="196"/>
      <c r="AW969" s="85"/>
      <c r="AX969" s="85"/>
      <c r="AY969" s="39"/>
      <c r="AZ969" s="7">
        <v>169.5</v>
      </c>
      <c r="BA969" s="62"/>
      <c r="BB969" s="7"/>
      <c r="BC969" s="7"/>
      <c r="BD969" s="7"/>
      <c r="BE969" s="7"/>
      <c r="BF969" s="39"/>
      <c r="BG969" s="7"/>
      <c r="BH969" s="62"/>
      <c r="BI969" s="7"/>
      <c r="BJ969" s="32"/>
      <c r="BK969" s="54"/>
    </row>
    <row r="970" spans="1:63" ht="23.25" customHeight="1" x14ac:dyDescent="0.2">
      <c r="A970" s="62">
        <v>969</v>
      </c>
      <c r="B970" s="221"/>
      <c r="C970" s="221"/>
      <c r="D970" s="223"/>
      <c r="E970" s="54" t="s">
        <v>1700</v>
      </c>
      <c r="F970" s="16">
        <f t="shared" si="103"/>
        <v>82.642857142857139</v>
      </c>
      <c r="G970" s="8">
        <f>0.2*1.43*100/14</f>
        <v>2.0428571428571427</v>
      </c>
      <c r="H970" s="8">
        <f>0.8*1.43*100/14</f>
        <v>8.1714285714285708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17">
        <v>0</v>
      </c>
      <c r="T970" s="8">
        <f t="shared" si="98"/>
        <v>7.1428571428571432</v>
      </c>
      <c r="U970" s="8">
        <v>0</v>
      </c>
      <c r="V970" s="8">
        <v>0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  <c r="AD970" s="14">
        <f t="shared" si="99"/>
        <v>100</v>
      </c>
      <c r="AE970" s="8">
        <v>0</v>
      </c>
      <c r="AF970" s="8">
        <v>0</v>
      </c>
      <c r="AG970" s="8">
        <v>0</v>
      </c>
      <c r="AH970" s="8">
        <v>0</v>
      </c>
      <c r="AJ970" s="7"/>
      <c r="AK970" s="62"/>
      <c r="AL970" s="158"/>
      <c r="AM970" s="85"/>
      <c r="AN970" s="85"/>
      <c r="AO970" s="85"/>
      <c r="AP970" s="85"/>
      <c r="AQ970" s="85"/>
      <c r="AR970" s="85"/>
      <c r="AS970" s="85"/>
      <c r="AT970" s="205"/>
      <c r="AU970" s="85"/>
      <c r="AV970" s="196"/>
      <c r="AW970" s="85"/>
      <c r="AX970" s="85"/>
      <c r="AY970" s="39"/>
      <c r="AZ970" s="7">
        <v>160.69999999999999</v>
      </c>
      <c r="BA970" s="62"/>
      <c r="BB970" s="7"/>
      <c r="BC970" s="7"/>
      <c r="BD970" s="7"/>
      <c r="BE970" s="7"/>
      <c r="BF970" s="39"/>
      <c r="BG970" s="7"/>
      <c r="BH970" s="62"/>
      <c r="BI970" s="7"/>
      <c r="BJ970" s="32"/>
      <c r="BK970" s="54"/>
    </row>
    <row r="971" spans="1:63" ht="23.25" customHeight="1" x14ac:dyDescent="0.2">
      <c r="A971" s="7">
        <v>970</v>
      </c>
      <c r="B971" s="221"/>
      <c r="C971" s="221"/>
      <c r="D971" s="223"/>
      <c r="E971" s="54" t="s">
        <v>1701</v>
      </c>
      <c r="F971" s="16">
        <f t="shared" si="103"/>
        <v>82.642857142857139</v>
      </c>
      <c r="G971" s="8">
        <f>0*1.43*100/14</f>
        <v>0</v>
      </c>
      <c r="H971" s="8">
        <f>1.43*100/14</f>
        <v>10.214285714285714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17">
        <v>0</v>
      </c>
      <c r="T971" s="8">
        <f t="shared" si="98"/>
        <v>7.1428571428571432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14">
        <f t="shared" si="99"/>
        <v>99.999999999999986</v>
      </c>
      <c r="AE971" s="8">
        <v>0</v>
      </c>
      <c r="AF971" s="8">
        <v>0</v>
      </c>
      <c r="AG971" s="8">
        <v>0</v>
      </c>
      <c r="AH971" s="8">
        <v>0</v>
      </c>
      <c r="AJ971" s="7"/>
      <c r="AK971" s="62"/>
      <c r="AL971" s="158"/>
      <c r="AM971" s="85"/>
      <c r="AN971" s="85"/>
      <c r="AO971" s="85"/>
      <c r="AP971" s="85"/>
      <c r="AQ971" s="85"/>
      <c r="AR971" s="85"/>
      <c r="AS971" s="85"/>
      <c r="AT971" s="205"/>
      <c r="AU971" s="85"/>
      <c r="AV971" s="196"/>
      <c r="AW971" s="85"/>
      <c r="AX971" s="85"/>
      <c r="AY971" s="39"/>
      <c r="AZ971" s="7">
        <v>200.7</v>
      </c>
      <c r="BA971" s="62"/>
      <c r="BB971" s="7"/>
      <c r="BC971" s="7"/>
      <c r="BD971" s="7"/>
      <c r="BE971" s="7"/>
      <c r="BF971" s="39"/>
      <c r="BG971" s="7"/>
      <c r="BH971" s="62"/>
      <c r="BI971" s="7"/>
      <c r="BJ971" s="32"/>
      <c r="BK971" s="54"/>
    </row>
    <row r="972" spans="1:63" ht="23.25" customHeight="1" x14ac:dyDescent="0.2">
      <c r="A972" s="62">
        <v>971</v>
      </c>
      <c r="B972" s="221"/>
      <c r="C972" s="221"/>
      <c r="D972" s="223" t="s">
        <v>1703</v>
      </c>
      <c r="E972" s="54" t="s">
        <v>1696</v>
      </c>
      <c r="F972" s="16">
        <f>11.86*100/14</f>
        <v>84.714285714285708</v>
      </c>
      <c r="G972" s="8">
        <f>1.14*100/14</f>
        <v>8.1428571428571423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17">
        <v>0</v>
      </c>
      <c r="T972" s="8">
        <f t="shared" si="98"/>
        <v>7.1428571428571432</v>
      </c>
      <c r="U972" s="8">
        <v>0</v>
      </c>
      <c r="V972" s="8">
        <v>0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14">
        <f t="shared" si="99"/>
        <v>99.999999999999986</v>
      </c>
      <c r="AE972" s="8">
        <v>0</v>
      </c>
      <c r="AF972" s="8">
        <v>0</v>
      </c>
      <c r="AG972" s="8">
        <v>0</v>
      </c>
      <c r="AH972" s="8">
        <v>0</v>
      </c>
      <c r="AJ972" s="7"/>
      <c r="AK972" s="62"/>
      <c r="AL972" s="158"/>
      <c r="AM972" s="85"/>
      <c r="AN972" s="85"/>
      <c r="AO972" s="85"/>
      <c r="AP972" s="85"/>
      <c r="AQ972" s="85"/>
      <c r="AR972" s="85"/>
      <c r="AS972" s="85"/>
      <c r="AT972" s="205"/>
      <c r="AU972" s="85"/>
      <c r="AV972" s="196"/>
      <c r="AW972" s="85"/>
      <c r="AX972" s="85"/>
      <c r="AY972" s="39"/>
      <c r="AZ972" s="7">
        <v>188.1</v>
      </c>
      <c r="BA972" s="62"/>
      <c r="BB972" s="7"/>
      <c r="BC972" s="7"/>
      <c r="BD972" s="7"/>
      <c r="BE972" s="7"/>
      <c r="BF972" s="39"/>
      <c r="BG972" s="7"/>
      <c r="BH972" s="62"/>
      <c r="BI972" s="7"/>
      <c r="BJ972" s="32"/>
      <c r="BK972" s="54"/>
    </row>
    <row r="973" spans="1:63" ht="23.25" customHeight="1" x14ac:dyDescent="0.2">
      <c r="A973" s="7">
        <v>972</v>
      </c>
      <c r="B973" s="221"/>
      <c r="C973" s="221"/>
      <c r="D973" s="223"/>
      <c r="E973" s="54" t="s">
        <v>1697</v>
      </c>
      <c r="F973" s="16">
        <f t="shared" ref="F973:F977" si="104">11.86*100/14</f>
        <v>84.714285714285708</v>
      </c>
      <c r="G973" s="8">
        <f>0.8*1.14*100/14</f>
        <v>6.5142857142857133</v>
      </c>
      <c r="H973" s="8">
        <f>0.2*1.14*100/14</f>
        <v>1.6285714285714283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17">
        <v>0</v>
      </c>
      <c r="T973" s="8">
        <f t="shared" si="98"/>
        <v>7.1428571428571432</v>
      </c>
      <c r="U973" s="8">
        <v>0</v>
      </c>
      <c r="V973" s="8">
        <v>0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14">
        <f t="shared" si="99"/>
        <v>100</v>
      </c>
      <c r="AE973" s="8">
        <v>0</v>
      </c>
      <c r="AF973" s="8">
        <v>0</v>
      </c>
      <c r="AG973" s="8">
        <v>0</v>
      </c>
      <c r="AH973" s="8">
        <v>0</v>
      </c>
      <c r="AJ973" s="7"/>
      <c r="AK973" s="62"/>
      <c r="AL973" s="158"/>
      <c r="AM973" s="85"/>
      <c r="AN973" s="85"/>
      <c r="AO973" s="85"/>
      <c r="AP973" s="85"/>
      <c r="AQ973" s="85"/>
      <c r="AR973" s="85"/>
      <c r="AS973" s="85"/>
      <c r="AT973" s="205"/>
      <c r="AU973" s="85"/>
      <c r="AV973" s="196"/>
      <c r="AW973" s="85"/>
      <c r="AX973" s="85"/>
      <c r="AY973" s="39"/>
      <c r="AZ973" s="7">
        <v>201.7</v>
      </c>
      <c r="BA973" s="62"/>
      <c r="BB973" s="7"/>
      <c r="BC973" s="7"/>
      <c r="BD973" s="7"/>
      <c r="BE973" s="7"/>
      <c r="BF973" s="39"/>
      <c r="BG973" s="7"/>
      <c r="BH973" s="62"/>
      <c r="BI973" s="7"/>
      <c r="BJ973" s="32"/>
      <c r="BK973" s="54"/>
    </row>
    <row r="974" spans="1:63" ht="23.25" customHeight="1" x14ac:dyDescent="0.2">
      <c r="A974" s="62">
        <v>973</v>
      </c>
      <c r="B974" s="221"/>
      <c r="C974" s="221"/>
      <c r="D974" s="223"/>
      <c r="E974" s="54" t="s">
        <v>1698</v>
      </c>
      <c r="F974" s="16">
        <f t="shared" si="104"/>
        <v>84.714285714285708</v>
      </c>
      <c r="G974" s="8">
        <f>0.6*1.14*100/14</f>
        <v>4.8857142857142852</v>
      </c>
      <c r="H974" s="8">
        <f>0.4*1.14*100/14</f>
        <v>3.2571428571428567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17">
        <v>0</v>
      </c>
      <c r="T974" s="8">
        <f t="shared" si="98"/>
        <v>7.1428571428571432</v>
      </c>
      <c r="U974" s="8">
        <v>0</v>
      </c>
      <c r="V974" s="8">
        <v>0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14">
        <f t="shared" si="99"/>
        <v>99.999999999999986</v>
      </c>
      <c r="AE974" s="8">
        <v>0</v>
      </c>
      <c r="AF974" s="8">
        <v>0</v>
      </c>
      <c r="AG974" s="8">
        <v>0</v>
      </c>
      <c r="AH974" s="8">
        <v>0</v>
      </c>
      <c r="AJ974" s="7"/>
      <c r="AK974" s="62"/>
      <c r="AL974" s="158"/>
      <c r="AM974" s="85"/>
      <c r="AN974" s="85"/>
      <c r="AO974" s="85"/>
      <c r="AP974" s="85"/>
      <c r="AQ974" s="85"/>
      <c r="AR974" s="85"/>
      <c r="AS974" s="85"/>
      <c r="AT974" s="205"/>
      <c r="AU974" s="85"/>
      <c r="AV974" s="196"/>
      <c r="AW974" s="85"/>
      <c r="AX974" s="85"/>
      <c r="AY974" s="39"/>
      <c r="AZ974" s="7">
        <v>205.6</v>
      </c>
      <c r="BA974" s="62"/>
      <c r="BB974" s="7"/>
      <c r="BC974" s="7"/>
      <c r="BD974" s="7"/>
      <c r="BE974" s="7"/>
      <c r="BF974" s="39"/>
      <c r="BG974" s="7"/>
      <c r="BH974" s="62"/>
      <c r="BI974" s="7"/>
      <c r="BJ974" s="32"/>
      <c r="BK974" s="54"/>
    </row>
    <row r="975" spans="1:63" ht="23.25" customHeight="1" x14ac:dyDescent="0.2">
      <c r="A975" s="7">
        <v>974</v>
      </c>
      <c r="B975" s="221"/>
      <c r="C975" s="221"/>
      <c r="D975" s="223"/>
      <c r="E975" s="54" t="s">
        <v>1699</v>
      </c>
      <c r="F975" s="16">
        <f t="shared" si="104"/>
        <v>84.714285714285708</v>
      </c>
      <c r="G975" s="8">
        <f>0.4*1.14*100/14</f>
        <v>3.2571428571428567</v>
      </c>
      <c r="H975" s="8">
        <f>0.6*1.14*100/14</f>
        <v>4.8857142857142852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17">
        <v>0</v>
      </c>
      <c r="T975" s="8">
        <f t="shared" si="98"/>
        <v>7.1428571428571432</v>
      </c>
      <c r="U975" s="8">
        <v>0</v>
      </c>
      <c r="V975" s="8">
        <v>0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14">
        <f t="shared" si="99"/>
        <v>99.999999999999986</v>
      </c>
      <c r="AE975" s="8">
        <v>0</v>
      </c>
      <c r="AF975" s="8">
        <v>0</v>
      </c>
      <c r="AG975" s="8">
        <v>0</v>
      </c>
      <c r="AH975" s="8">
        <v>0</v>
      </c>
      <c r="AJ975" s="7"/>
      <c r="AK975" s="62"/>
      <c r="AL975" s="158"/>
      <c r="AM975" s="85"/>
      <c r="AN975" s="85"/>
      <c r="AO975" s="85"/>
      <c r="AP975" s="85"/>
      <c r="AQ975" s="85"/>
      <c r="AR975" s="85"/>
      <c r="AS975" s="85"/>
      <c r="AT975" s="205"/>
      <c r="AU975" s="85"/>
      <c r="AV975" s="196"/>
      <c r="AW975" s="85"/>
      <c r="AX975" s="85"/>
      <c r="AY975" s="39"/>
      <c r="AZ975" s="7">
        <v>211.67</v>
      </c>
      <c r="BA975" s="62"/>
      <c r="BB975" s="7"/>
      <c r="BC975" s="7"/>
      <c r="BD975" s="7"/>
      <c r="BE975" s="7"/>
      <c r="BF975" s="39"/>
      <c r="BG975" s="7"/>
      <c r="BH975" s="62"/>
      <c r="BI975" s="7"/>
      <c r="BJ975" s="32"/>
      <c r="BK975" s="54"/>
    </row>
    <row r="976" spans="1:63" ht="23.25" customHeight="1" x14ac:dyDescent="0.2">
      <c r="A976" s="62">
        <v>975</v>
      </c>
      <c r="B976" s="221"/>
      <c r="C976" s="221"/>
      <c r="D976" s="223"/>
      <c r="E976" s="54" t="s">
        <v>1700</v>
      </c>
      <c r="F976" s="16">
        <f t="shared" si="104"/>
        <v>84.714285714285708</v>
      </c>
      <c r="G976" s="8">
        <f>0.2*1.14*100/14</f>
        <v>1.6285714285714283</v>
      </c>
      <c r="H976" s="8">
        <f>0.8*1.14*100/14</f>
        <v>6.5142857142857133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17">
        <v>0</v>
      </c>
      <c r="T976" s="8">
        <f t="shared" si="98"/>
        <v>7.1428571428571432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14">
        <f t="shared" si="99"/>
        <v>100</v>
      </c>
      <c r="AE976" s="8">
        <v>0</v>
      </c>
      <c r="AF976" s="8">
        <v>0</v>
      </c>
      <c r="AG976" s="8">
        <v>0</v>
      </c>
      <c r="AH976" s="8">
        <v>0</v>
      </c>
      <c r="AJ976" s="7"/>
      <c r="AK976" s="62"/>
      <c r="AL976" s="158"/>
      <c r="AM976" s="85"/>
      <c r="AN976" s="85"/>
      <c r="AO976" s="85"/>
      <c r="AP976" s="85"/>
      <c r="AQ976" s="85"/>
      <c r="AR976" s="85"/>
      <c r="AS976" s="85"/>
      <c r="AT976" s="205"/>
      <c r="AU976" s="85"/>
      <c r="AV976" s="196"/>
      <c r="AW976" s="85"/>
      <c r="AX976" s="85"/>
      <c r="AY976" s="39"/>
      <c r="AZ976" s="7">
        <v>218.8</v>
      </c>
      <c r="BA976" s="62"/>
      <c r="BB976" s="7"/>
      <c r="BC976" s="7"/>
      <c r="BD976" s="7"/>
      <c r="BE976" s="7"/>
      <c r="BF976" s="39"/>
      <c r="BG976" s="7"/>
      <c r="BH976" s="62"/>
      <c r="BI976" s="7"/>
      <c r="BJ976" s="32"/>
      <c r="BK976" s="54"/>
    </row>
    <row r="977" spans="1:63" ht="23.25" customHeight="1" thickBot="1" x14ac:dyDescent="0.25">
      <c r="A977" s="7">
        <v>976</v>
      </c>
      <c r="B977" s="222"/>
      <c r="C977" s="222"/>
      <c r="D977" s="224"/>
      <c r="E977" s="54" t="s">
        <v>1701</v>
      </c>
      <c r="F977" s="16">
        <f t="shared" si="104"/>
        <v>84.714285714285708</v>
      </c>
      <c r="G977" s="8">
        <v>0</v>
      </c>
      <c r="H977" s="8">
        <f>1.14*100/14</f>
        <v>8.1428571428571423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17">
        <v>0</v>
      </c>
      <c r="T977" s="8">
        <f t="shared" si="98"/>
        <v>7.1428571428571432</v>
      </c>
      <c r="U977" s="8">
        <v>0</v>
      </c>
      <c r="V977" s="8">
        <v>0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14">
        <f t="shared" si="99"/>
        <v>99.999999999999986</v>
      </c>
      <c r="AE977" s="8">
        <v>0</v>
      </c>
      <c r="AF977" s="8">
        <v>0</v>
      </c>
      <c r="AG977" s="8">
        <v>0</v>
      </c>
      <c r="AH977" s="8">
        <v>0</v>
      </c>
      <c r="AJ977" s="7"/>
      <c r="AK977" s="62"/>
      <c r="AL977" s="158"/>
      <c r="AM977" s="85"/>
      <c r="AN977" s="85"/>
      <c r="AO977" s="85"/>
      <c r="AP977" s="85"/>
      <c r="AQ977" s="85"/>
      <c r="AR977" s="85"/>
      <c r="AS977" s="85"/>
      <c r="AT977" s="205"/>
      <c r="AU977" s="85"/>
      <c r="AV977" s="196"/>
      <c r="AW977" s="85"/>
      <c r="AX977" s="85"/>
      <c r="AY977" s="39"/>
      <c r="AZ977" s="7">
        <v>224.3</v>
      </c>
      <c r="BA977" s="62"/>
      <c r="BB977" s="7"/>
      <c r="BC977" s="7"/>
      <c r="BD977" s="7"/>
      <c r="BE977" s="7"/>
      <c r="BF977" s="39"/>
      <c r="BG977" s="7"/>
      <c r="BH977" s="62"/>
      <c r="BI977" s="7"/>
      <c r="BJ977" s="32"/>
      <c r="BK977" s="54"/>
    </row>
    <row r="978" spans="1:63" s="4" customFormat="1" ht="23.25" customHeight="1" x14ac:dyDescent="0.2">
      <c r="A978" s="62">
        <v>977</v>
      </c>
      <c r="B978" s="218">
        <v>1005</v>
      </c>
      <c r="C978" s="218" t="s">
        <v>1621</v>
      </c>
      <c r="D978" s="12" t="s">
        <v>169</v>
      </c>
      <c r="E978" s="12"/>
      <c r="F978" s="87">
        <f>11.5*100/14</f>
        <v>82.142857142857139</v>
      </c>
      <c r="G978" s="88">
        <f>1.5*100/14</f>
        <v>10.714285714285714</v>
      </c>
      <c r="H978" s="88">
        <v>0</v>
      </c>
      <c r="I978" s="88">
        <v>0</v>
      </c>
      <c r="J978" s="88">
        <v>0</v>
      </c>
      <c r="K978" s="88">
        <v>0</v>
      </c>
      <c r="L978" s="88">
        <v>0</v>
      </c>
      <c r="M978" s="88">
        <v>0</v>
      </c>
      <c r="N978" s="88">
        <v>0</v>
      </c>
      <c r="O978" s="88">
        <v>0</v>
      </c>
      <c r="P978" s="88">
        <v>0</v>
      </c>
      <c r="Q978" s="88">
        <v>0</v>
      </c>
      <c r="R978" s="88">
        <v>0</v>
      </c>
      <c r="S978" s="89">
        <v>0</v>
      </c>
      <c r="T978" s="88">
        <f t="shared" ref="T978:T988" si="105">1*100/14</f>
        <v>7.1428571428571432</v>
      </c>
      <c r="U978" s="88">
        <v>0</v>
      </c>
      <c r="V978" s="88">
        <v>0</v>
      </c>
      <c r="W978" s="88">
        <v>0</v>
      </c>
      <c r="X978" s="88">
        <v>0</v>
      </c>
      <c r="Y978" s="88">
        <v>0</v>
      </c>
      <c r="Z978" s="88">
        <v>0</v>
      </c>
      <c r="AA978" s="88">
        <v>0</v>
      </c>
      <c r="AB978" s="88">
        <v>0</v>
      </c>
      <c r="AC978" s="88">
        <v>0</v>
      </c>
      <c r="AD978" s="90">
        <f t="shared" ref="AD978:AD1024" si="106">SUM(F978:AC978)</f>
        <v>99.999999999999986</v>
      </c>
      <c r="AE978" s="88">
        <v>0</v>
      </c>
      <c r="AF978" s="88">
        <f>0.2*100/14</f>
        <v>1.4285714285714286</v>
      </c>
      <c r="AG978" s="88">
        <v>0</v>
      </c>
      <c r="AH978" s="88">
        <v>0</v>
      </c>
      <c r="AI978" s="156" t="s">
        <v>1531</v>
      </c>
      <c r="AJ978" s="45">
        <v>72</v>
      </c>
      <c r="AK978" s="91">
        <v>1353</v>
      </c>
      <c r="AL978" s="197"/>
      <c r="AM978" s="189"/>
      <c r="AN978" s="189"/>
      <c r="AO978" s="189"/>
      <c r="AP978" s="189"/>
      <c r="AQ978" s="189"/>
      <c r="AR978" s="189"/>
      <c r="AS978" s="189"/>
      <c r="AT978" s="198"/>
      <c r="AU978" s="189"/>
      <c r="AV978" s="199"/>
      <c r="AW978" s="189"/>
      <c r="AX978" s="189"/>
      <c r="AY978" s="156">
        <v>0</v>
      </c>
      <c r="AZ978" s="45">
        <v>223</v>
      </c>
      <c r="BA978" s="91"/>
      <c r="BB978" s="45"/>
      <c r="BC978" s="45"/>
      <c r="BD978" s="45"/>
      <c r="BE978" s="45"/>
      <c r="BF978" s="156"/>
      <c r="BG978" s="45"/>
      <c r="BH978" s="91"/>
      <c r="BI978" s="45"/>
      <c r="BJ978" s="67">
        <v>1</v>
      </c>
      <c r="BK978" s="12"/>
    </row>
    <row r="979" spans="1:63" ht="23.25" customHeight="1" x14ac:dyDescent="0.2">
      <c r="A979" s="7">
        <v>978</v>
      </c>
      <c r="B979" s="221"/>
      <c r="C979" s="221"/>
      <c r="D979" s="54" t="s">
        <v>169</v>
      </c>
      <c r="E979" s="54"/>
      <c r="F979" s="16">
        <f>11.5*100/14</f>
        <v>82.142857142857139</v>
      </c>
      <c r="G979" s="8">
        <f>1.5*100/14</f>
        <v>10.714285714285714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17">
        <v>0</v>
      </c>
      <c r="T979" s="8">
        <f t="shared" si="105"/>
        <v>7.1428571428571432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14">
        <f t="shared" si="106"/>
        <v>99.999999999999986</v>
      </c>
      <c r="AE979" s="8">
        <v>0</v>
      </c>
      <c r="AF979" s="8">
        <f>0.2*100/14</f>
        <v>1.4285714285714286</v>
      </c>
      <c r="AG979" s="8">
        <v>0</v>
      </c>
      <c r="AH979" s="8">
        <v>0</v>
      </c>
      <c r="AI979" s="39" t="s">
        <v>1527</v>
      </c>
      <c r="AJ979" s="7">
        <v>12</v>
      </c>
      <c r="AK979" s="62">
        <v>1353</v>
      </c>
      <c r="AL979" s="158"/>
      <c r="AM979" s="85"/>
      <c r="AN979" s="85"/>
      <c r="AO979" s="85"/>
      <c r="AP979" s="85"/>
      <c r="AQ979" s="85"/>
      <c r="AR979" s="85"/>
      <c r="AS979" s="85"/>
      <c r="AT979" s="205"/>
      <c r="AU979" s="85"/>
      <c r="AV979" s="196"/>
      <c r="AW979" s="85"/>
      <c r="AX979" s="85"/>
      <c r="AY979" s="39">
        <v>0</v>
      </c>
      <c r="AZ979" s="7">
        <v>224</v>
      </c>
      <c r="BA979" s="62"/>
      <c r="BB979" s="7" t="s">
        <v>624</v>
      </c>
      <c r="BC979" s="7" t="s">
        <v>1327</v>
      </c>
      <c r="BD979" s="7" t="s">
        <v>1328</v>
      </c>
      <c r="BE979" s="7" t="s">
        <v>1329</v>
      </c>
      <c r="BF979" s="39"/>
      <c r="BG979" s="7"/>
      <c r="BH979" s="62"/>
      <c r="BI979" s="7"/>
      <c r="BJ979" s="32">
        <v>1</v>
      </c>
      <c r="BK979" s="54"/>
    </row>
    <row r="980" spans="1:63" s="6" customFormat="1" ht="23.25" customHeight="1" thickBot="1" x14ac:dyDescent="0.25">
      <c r="A980" s="62">
        <v>979</v>
      </c>
      <c r="B980" s="222"/>
      <c r="C980" s="222"/>
      <c r="D980" s="13" t="s">
        <v>1326</v>
      </c>
      <c r="E980" s="13"/>
      <c r="F980" s="80">
        <f>10.85*100/14</f>
        <v>77.5</v>
      </c>
      <c r="G980" s="81">
        <f>1.5*100/14</f>
        <v>10.714285714285714</v>
      </c>
      <c r="H980" s="81">
        <v>0</v>
      </c>
      <c r="I980" s="81">
        <v>0</v>
      </c>
      <c r="J980" s="81">
        <f>0.65*100/14</f>
        <v>4.6428571428571432</v>
      </c>
      <c r="K980" s="81">
        <v>0</v>
      </c>
      <c r="L980" s="81">
        <v>0</v>
      </c>
      <c r="M980" s="81">
        <v>0</v>
      </c>
      <c r="N980" s="81">
        <v>0</v>
      </c>
      <c r="O980" s="81">
        <v>0</v>
      </c>
      <c r="P980" s="81">
        <v>0</v>
      </c>
      <c r="Q980" s="81">
        <v>0</v>
      </c>
      <c r="R980" s="81">
        <v>0</v>
      </c>
      <c r="S980" s="82">
        <v>0</v>
      </c>
      <c r="T980" s="81">
        <f t="shared" si="105"/>
        <v>7.1428571428571432</v>
      </c>
      <c r="U980" s="81">
        <v>0</v>
      </c>
      <c r="V980" s="81">
        <v>0</v>
      </c>
      <c r="W980" s="81">
        <v>0</v>
      </c>
      <c r="X980" s="81">
        <v>0</v>
      </c>
      <c r="Y980" s="81">
        <v>0</v>
      </c>
      <c r="Z980" s="81">
        <v>0</v>
      </c>
      <c r="AA980" s="81">
        <v>0</v>
      </c>
      <c r="AB980" s="81">
        <v>0</v>
      </c>
      <c r="AC980" s="81">
        <v>0</v>
      </c>
      <c r="AD980" s="83">
        <f t="shared" si="106"/>
        <v>99.999999999999986</v>
      </c>
      <c r="AE980" s="81">
        <v>0</v>
      </c>
      <c r="AF980" s="81">
        <f>0.2*100/14</f>
        <v>1.4285714285714286</v>
      </c>
      <c r="AG980" s="81">
        <v>0</v>
      </c>
      <c r="AH980" s="81">
        <v>0</v>
      </c>
      <c r="AI980" s="79" t="s">
        <v>1527</v>
      </c>
      <c r="AJ980" s="65">
        <v>24</v>
      </c>
      <c r="AK980" s="78">
        <v>1353</v>
      </c>
      <c r="AL980" s="200"/>
      <c r="AM980" s="190"/>
      <c r="AN980" s="190"/>
      <c r="AO980" s="190"/>
      <c r="AP980" s="190"/>
      <c r="AQ980" s="190"/>
      <c r="AR980" s="190"/>
      <c r="AS980" s="190"/>
      <c r="AT980" s="201"/>
      <c r="AU980" s="190"/>
      <c r="AV980" s="202"/>
      <c r="AW980" s="190"/>
      <c r="AX980" s="190"/>
      <c r="AY980" s="79">
        <v>0</v>
      </c>
      <c r="AZ980" s="65">
        <v>292</v>
      </c>
      <c r="BA980" s="78"/>
      <c r="BB980" s="65" t="s">
        <v>624</v>
      </c>
      <c r="BC980" s="65" t="s">
        <v>1330</v>
      </c>
      <c r="BD980" s="65" t="s">
        <v>1331</v>
      </c>
      <c r="BE980" s="65" t="s">
        <v>1332</v>
      </c>
      <c r="BF980" s="79"/>
      <c r="BG980" s="65"/>
      <c r="BH980" s="78"/>
      <c r="BI980" s="65"/>
      <c r="BJ980" s="68">
        <v>1</v>
      </c>
      <c r="BK980" s="13"/>
    </row>
    <row r="981" spans="1:63" ht="23.25" customHeight="1" x14ac:dyDescent="0.2">
      <c r="A981" s="7">
        <v>980</v>
      </c>
      <c r="B981" s="218">
        <v>1007</v>
      </c>
      <c r="C981" s="218" t="s">
        <v>1622</v>
      </c>
      <c r="D981" s="54" t="s">
        <v>1333</v>
      </c>
      <c r="E981" s="54"/>
      <c r="F981" s="16">
        <f>11.1*100/14</f>
        <v>79.285714285714292</v>
      </c>
      <c r="G981" s="8">
        <f t="shared" ref="G981:G988" si="107">1.2*100/14</f>
        <v>8.5714285714285712</v>
      </c>
      <c r="H981" s="8">
        <v>0</v>
      </c>
      <c r="I981" s="8">
        <v>0</v>
      </c>
      <c r="J981" s="8">
        <f>0.7*100/14</f>
        <v>5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17">
        <v>0</v>
      </c>
      <c r="T981" s="8">
        <f t="shared" si="105"/>
        <v>7.1428571428571432</v>
      </c>
      <c r="U981" s="8">
        <v>0</v>
      </c>
      <c r="V981" s="8">
        <v>0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14">
        <f t="shared" si="106"/>
        <v>100</v>
      </c>
      <c r="AE981" s="8">
        <v>0</v>
      </c>
      <c r="AF981" s="8">
        <v>0</v>
      </c>
      <c r="AG981" s="8">
        <v>0</v>
      </c>
      <c r="AH981" s="8">
        <v>0</v>
      </c>
      <c r="AI981" s="39" t="s">
        <v>1527</v>
      </c>
      <c r="AJ981" s="7">
        <v>48</v>
      </c>
      <c r="AK981" s="62">
        <v>1323</v>
      </c>
      <c r="AL981" s="158"/>
      <c r="AM981" s="85"/>
      <c r="AN981" s="85"/>
      <c r="AO981" s="85"/>
      <c r="AP981" s="85"/>
      <c r="AQ981" s="85"/>
      <c r="AR981" s="85"/>
      <c r="AS981" s="85"/>
      <c r="AT981" s="205"/>
      <c r="AU981" s="85"/>
      <c r="AV981" s="196"/>
      <c r="AW981" s="85"/>
      <c r="AX981" s="85"/>
      <c r="AY981" s="39">
        <v>0.05</v>
      </c>
      <c r="AZ981" s="7">
        <v>269</v>
      </c>
      <c r="BA981" s="62"/>
      <c r="BB981" s="7" t="s">
        <v>1152</v>
      </c>
      <c r="BC981" s="7" t="s">
        <v>1337</v>
      </c>
      <c r="BD981" s="7"/>
      <c r="BE981" s="7" t="s">
        <v>1344</v>
      </c>
      <c r="BF981" s="39"/>
      <c r="BG981" s="7"/>
      <c r="BH981" s="62"/>
      <c r="BI981" s="7"/>
      <c r="BJ981" s="32">
        <v>1</v>
      </c>
      <c r="BK981" s="54"/>
    </row>
    <row r="982" spans="1:63" ht="23.25" customHeight="1" x14ac:dyDescent="0.2">
      <c r="A982" s="62">
        <v>981</v>
      </c>
      <c r="B982" s="219"/>
      <c r="C982" s="219"/>
      <c r="D982" s="54" t="s">
        <v>1334</v>
      </c>
      <c r="E982" s="54"/>
      <c r="F982" s="16">
        <f>11.05*100/14</f>
        <v>78.928571428571431</v>
      </c>
      <c r="G982" s="8">
        <f t="shared" si="107"/>
        <v>8.5714285714285712</v>
      </c>
      <c r="H982" s="8">
        <v>0</v>
      </c>
      <c r="I982" s="8">
        <v>0</v>
      </c>
      <c r="J982" s="8">
        <f>0.75*100/14</f>
        <v>5.3571428571428568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17">
        <v>0</v>
      </c>
      <c r="T982" s="8">
        <f t="shared" si="105"/>
        <v>7.1428571428571432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14">
        <f t="shared" si="106"/>
        <v>100</v>
      </c>
      <c r="AE982" s="8">
        <v>0</v>
      </c>
      <c r="AF982" s="8">
        <v>0</v>
      </c>
      <c r="AG982" s="8">
        <v>0</v>
      </c>
      <c r="AH982" s="8">
        <v>0</v>
      </c>
      <c r="AI982" s="39" t="s">
        <v>1527</v>
      </c>
      <c r="AJ982" s="7">
        <v>48</v>
      </c>
      <c r="AK982" s="62">
        <v>1323</v>
      </c>
      <c r="AL982" s="158"/>
      <c r="AM982" s="85"/>
      <c r="AN982" s="85"/>
      <c r="AO982" s="85"/>
      <c r="AP982" s="85"/>
      <c r="AQ982" s="85"/>
      <c r="AR982" s="85"/>
      <c r="AS982" s="85"/>
      <c r="AT982" s="205"/>
      <c r="AU982" s="85"/>
      <c r="AV982" s="196"/>
      <c r="AW982" s="85"/>
      <c r="AX982" s="85"/>
      <c r="AY982" s="39">
        <v>0.05</v>
      </c>
      <c r="AZ982" s="7">
        <v>276</v>
      </c>
      <c r="BA982" s="62"/>
      <c r="BB982" s="7" t="s">
        <v>1152</v>
      </c>
      <c r="BC982" s="7" t="s">
        <v>1338</v>
      </c>
      <c r="BD982" s="7"/>
      <c r="BE982" s="7" t="s">
        <v>1345</v>
      </c>
      <c r="BF982" s="39"/>
      <c r="BG982" s="7"/>
      <c r="BH982" s="62"/>
      <c r="BI982" s="7"/>
      <c r="BJ982" s="32">
        <v>1</v>
      </c>
      <c r="BK982" s="54"/>
    </row>
    <row r="983" spans="1:63" ht="23.25" customHeight="1" x14ac:dyDescent="0.2">
      <c r="A983" s="7">
        <v>982</v>
      </c>
      <c r="B983" s="219"/>
      <c r="C983" s="219"/>
      <c r="D983" s="54" t="s">
        <v>89</v>
      </c>
      <c r="E983" s="54"/>
      <c r="F983" s="16">
        <f>11*100/14</f>
        <v>78.571428571428569</v>
      </c>
      <c r="G983" s="8">
        <f t="shared" si="107"/>
        <v>8.5714285714285712</v>
      </c>
      <c r="H983" s="8">
        <v>0</v>
      </c>
      <c r="I983" s="8">
        <v>0</v>
      </c>
      <c r="J983" s="8">
        <f>0.8*100/14</f>
        <v>5.7142857142857144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17">
        <v>0</v>
      </c>
      <c r="T983" s="8">
        <f t="shared" si="105"/>
        <v>7.1428571428571432</v>
      </c>
      <c r="U983" s="8">
        <v>0</v>
      </c>
      <c r="V983" s="8">
        <v>0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14">
        <f t="shared" si="106"/>
        <v>99.999999999999986</v>
      </c>
      <c r="AE983" s="8">
        <v>0</v>
      </c>
      <c r="AF983" s="8">
        <v>0</v>
      </c>
      <c r="AG983" s="8">
        <v>0</v>
      </c>
      <c r="AH983" s="8">
        <v>0</v>
      </c>
      <c r="AI983" s="39" t="s">
        <v>1527</v>
      </c>
      <c r="AJ983" s="7">
        <v>48</v>
      </c>
      <c r="AK983" s="62">
        <v>1323</v>
      </c>
      <c r="AL983" s="158"/>
      <c r="AM983" s="85"/>
      <c r="AN983" s="85"/>
      <c r="AO983" s="85"/>
      <c r="AP983" s="85"/>
      <c r="AQ983" s="85"/>
      <c r="AR983" s="85"/>
      <c r="AS983" s="85"/>
      <c r="AT983" s="205"/>
      <c r="AU983" s="85"/>
      <c r="AV983" s="196"/>
      <c r="AW983" s="85"/>
      <c r="AX983" s="85"/>
      <c r="AY983" s="39">
        <v>0.05</v>
      </c>
      <c r="AZ983" s="7">
        <v>280</v>
      </c>
      <c r="BA983" s="62"/>
      <c r="BB983" s="7" t="s">
        <v>1152</v>
      </c>
      <c r="BC983" s="7" t="s">
        <v>1339</v>
      </c>
      <c r="BD983" s="7"/>
      <c r="BE983" s="7" t="s">
        <v>1346</v>
      </c>
      <c r="BF983" s="39"/>
      <c r="BG983" s="7"/>
      <c r="BH983" s="62"/>
      <c r="BI983" s="7"/>
      <c r="BJ983" s="32">
        <v>1</v>
      </c>
      <c r="BK983" s="54"/>
    </row>
    <row r="984" spans="1:63" ht="23.25" customHeight="1" x14ac:dyDescent="0.2">
      <c r="A984" s="62">
        <v>983</v>
      </c>
      <c r="B984" s="219"/>
      <c r="C984" s="219"/>
      <c r="D984" s="54" t="s">
        <v>1335</v>
      </c>
      <c r="E984" s="54"/>
      <c r="F984" s="16">
        <f>10.95*100/14</f>
        <v>78.214285714285708</v>
      </c>
      <c r="G984" s="8">
        <f t="shared" si="107"/>
        <v>8.5714285714285712</v>
      </c>
      <c r="H984" s="8">
        <v>0</v>
      </c>
      <c r="I984" s="8">
        <v>0</v>
      </c>
      <c r="J984" s="8">
        <f>0.85*100/14</f>
        <v>6.0714285714285712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17">
        <v>0</v>
      </c>
      <c r="T984" s="8">
        <f t="shared" si="105"/>
        <v>7.1428571428571432</v>
      </c>
      <c r="U984" s="8">
        <v>0</v>
      </c>
      <c r="V984" s="8">
        <v>0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  <c r="AB984" s="8">
        <v>0</v>
      </c>
      <c r="AC984" s="8">
        <v>0</v>
      </c>
      <c r="AD984" s="14">
        <f t="shared" si="106"/>
        <v>99.999999999999986</v>
      </c>
      <c r="AE984" s="8">
        <v>0</v>
      </c>
      <c r="AF984" s="8">
        <v>0</v>
      </c>
      <c r="AG984" s="8">
        <v>0</v>
      </c>
      <c r="AH984" s="8">
        <v>0</v>
      </c>
      <c r="AI984" s="39" t="s">
        <v>1527</v>
      </c>
      <c r="AJ984" s="7">
        <v>48</v>
      </c>
      <c r="AK984" s="62">
        <v>1323</v>
      </c>
      <c r="AL984" s="158"/>
      <c r="AM984" s="85"/>
      <c r="AN984" s="85"/>
      <c r="AO984" s="85"/>
      <c r="AP984" s="85"/>
      <c r="AQ984" s="85"/>
      <c r="AR984" s="85"/>
      <c r="AS984" s="85"/>
      <c r="AT984" s="205"/>
      <c r="AU984" s="85"/>
      <c r="AV984" s="196"/>
      <c r="AW984" s="85"/>
      <c r="AX984" s="85"/>
      <c r="AY984" s="39">
        <v>0.05</v>
      </c>
      <c r="AZ984" s="7">
        <v>286</v>
      </c>
      <c r="BA984" s="62"/>
      <c r="BB984" s="7" t="s">
        <v>1152</v>
      </c>
      <c r="BC984" s="7" t="s">
        <v>1340</v>
      </c>
      <c r="BD984" s="7"/>
      <c r="BE984" s="7" t="s">
        <v>1347</v>
      </c>
      <c r="BF984" s="39"/>
      <c r="BG984" s="7"/>
      <c r="BH984" s="62"/>
      <c r="BI984" s="7"/>
      <c r="BJ984" s="32">
        <v>1</v>
      </c>
      <c r="BK984" s="54"/>
    </row>
    <row r="985" spans="1:63" ht="23.25" customHeight="1" x14ac:dyDescent="0.2">
      <c r="A985" s="7">
        <v>984</v>
      </c>
      <c r="B985" s="219"/>
      <c r="C985" s="219"/>
      <c r="D985" s="54" t="s">
        <v>1336</v>
      </c>
      <c r="E985" s="54"/>
      <c r="F985" s="16">
        <f>10.9*100/14</f>
        <v>77.857142857142861</v>
      </c>
      <c r="G985" s="8">
        <f t="shared" si="107"/>
        <v>8.5714285714285712</v>
      </c>
      <c r="H985" s="8">
        <v>0</v>
      </c>
      <c r="I985" s="8">
        <v>0</v>
      </c>
      <c r="J985" s="8">
        <f>0.9*100/14</f>
        <v>6.4285714285714288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17">
        <v>0</v>
      </c>
      <c r="T985" s="8">
        <f t="shared" si="105"/>
        <v>7.1428571428571432</v>
      </c>
      <c r="U985" s="8">
        <v>0</v>
      </c>
      <c r="V985" s="8">
        <v>0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  <c r="AB985" s="8">
        <v>0</v>
      </c>
      <c r="AC985" s="8">
        <v>0</v>
      </c>
      <c r="AD985" s="14">
        <f t="shared" si="106"/>
        <v>100</v>
      </c>
      <c r="AE985" s="8">
        <v>0</v>
      </c>
      <c r="AF985" s="8">
        <v>0</v>
      </c>
      <c r="AG985" s="8">
        <v>0</v>
      </c>
      <c r="AH985" s="8">
        <v>0</v>
      </c>
      <c r="AI985" s="39" t="s">
        <v>1527</v>
      </c>
      <c r="AJ985" s="7">
        <v>48</v>
      </c>
      <c r="AK985" s="62">
        <v>1323</v>
      </c>
      <c r="AL985" s="158"/>
      <c r="AM985" s="85"/>
      <c r="AN985" s="85"/>
      <c r="AO985" s="85"/>
      <c r="AP985" s="85"/>
      <c r="AQ985" s="85"/>
      <c r="AR985" s="85"/>
      <c r="AS985" s="85"/>
      <c r="AT985" s="205"/>
      <c r="AU985" s="85"/>
      <c r="AV985" s="196"/>
      <c r="AW985" s="85"/>
      <c r="AX985" s="85"/>
      <c r="AY985" s="39">
        <v>0.05</v>
      </c>
      <c r="AZ985" s="7">
        <v>292</v>
      </c>
      <c r="BA985" s="62"/>
      <c r="BB985" s="7" t="s">
        <v>1152</v>
      </c>
      <c r="BC985" s="7" t="s">
        <v>1341</v>
      </c>
      <c r="BD985" s="7"/>
      <c r="BE985" s="7" t="s">
        <v>1348</v>
      </c>
      <c r="BF985" s="39"/>
      <c r="BG985" s="7"/>
      <c r="BH985" s="62"/>
      <c r="BI985" s="7"/>
      <c r="BJ985" s="32">
        <v>1</v>
      </c>
      <c r="BK985" s="54"/>
    </row>
    <row r="986" spans="1:63" ht="23.25" customHeight="1" x14ac:dyDescent="0.2">
      <c r="A986" s="62">
        <v>985</v>
      </c>
      <c r="B986" s="219"/>
      <c r="C986" s="219"/>
      <c r="D986" s="54" t="s">
        <v>89</v>
      </c>
      <c r="E986" s="54"/>
      <c r="F986" s="16">
        <f>11*100/14</f>
        <v>78.571428571428569</v>
      </c>
      <c r="G986" s="8">
        <f t="shared" si="107"/>
        <v>8.5714285714285712</v>
      </c>
      <c r="H986" s="8">
        <v>0</v>
      </c>
      <c r="I986" s="8">
        <v>0</v>
      </c>
      <c r="J986" s="8">
        <f>0.8*100/14</f>
        <v>5.7142857142857144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17">
        <v>0</v>
      </c>
      <c r="T986" s="8">
        <f t="shared" si="105"/>
        <v>7.1428571428571432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  <c r="AD986" s="14">
        <f t="shared" si="106"/>
        <v>99.999999999999986</v>
      </c>
      <c r="AE986" s="8">
        <v>0</v>
      </c>
      <c r="AF986" s="8">
        <v>0</v>
      </c>
      <c r="AG986" s="8">
        <v>0</v>
      </c>
      <c r="AH986" s="8">
        <v>0</v>
      </c>
      <c r="AI986" s="39" t="s">
        <v>1527</v>
      </c>
      <c r="AJ986" s="7">
        <v>24</v>
      </c>
      <c r="AK986" s="62">
        <v>1323</v>
      </c>
      <c r="AL986" s="158"/>
      <c r="AM986" s="85"/>
      <c r="AN986" s="85"/>
      <c r="AO986" s="85"/>
      <c r="AP986" s="85"/>
      <c r="AQ986" s="85"/>
      <c r="AR986" s="85"/>
      <c r="AS986" s="85"/>
      <c r="AT986" s="205"/>
      <c r="AU986" s="85"/>
      <c r="AV986" s="196"/>
      <c r="AW986" s="85"/>
      <c r="AX986" s="85"/>
      <c r="AY986" s="39">
        <v>0.05</v>
      </c>
      <c r="AZ986" s="7">
        <v>281</v>
      </c>
      <c r="BA986" s="62"/>
      <c r="BB986" s="7" t="s">
        <v>1152</v>
      </c>
      <c r="BC986" s="7" t="s">
        <v>1342</v>
      </c>
      <c r="BD986" s="7"/>
      <c r="BE986" s="7" t="s">
        <v>1349</v>
      </c>
      <c r="BF986" s="39"/>
      <c r="BG986" s="7"/>
      <c r="BH986" s="62"/>
      <c r="BI986" s="7"/>
      <c r="BJ986" s="32">
        <v>1</v>
      </c>
      <c r="BK986" s="54"/>
    </row>
    <row r="987" spans="1:63" ht="23.25" customHeight="1" x14ac:dyDescent="0.2">
      <c r="A987" s="7">
        <v>986</v>
      </c>
      <c r="B987" s="219"/>
      <c r="C987" s="219"/>
      <c r="D987" s="54" t="s">
        <v>89</v>
      </c>
      <c r="E987" s="54"/>
      <c r="F987" s="16">
        <f>11*100/14</f>
        <v>78.571428571428569</v>
      </c>
      <c r="G987" s="8">
        <f t="shared" si="107"/>
        <v>8.5714285714285712</v>
      </c>
      <c r="H987" s="8">
        <v>0</v>
      </c>
      <c r="I987" s="8">
        <v>0</v>
      </c>
      <c r="J987" s="8">
        <f>0.8*100/14</f>
        <v>5.7142857142857144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17">
        <v>0</v>
      </c>
      <c r="T987" s="8">
        <f t="shared" si="105"/>
        <v>7.1428571428571432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14">
        <f t="shared" si="106"/>
        <v>99.999999999999986</v>
      </c>
      <c r="AE987" s="8">
        <v>0</v>
      </c>
      <c r="AF987" s="8">
        <v>0</v>
      </c>
      <c r="AG987" s="8">
        <v>0</v>
      </c>
      <c r="AH987" s="8">
        <v>0</v>
      </c>
      <c r="AI987" s="39" t="s">
        <v>1527</v>
      </c>
      <c r="AJ987" s="7">
        <v>12</v>
      </c>
      <c r="AK987" s="62">
        <v>1323</v>
      </c>
      <c r="AL987" s="158"/>
      <c r="AM987" s="85"/>
      <c r="AN987" s="85"/>
      <c r="AO987" s="85"/>
      <c r="AP987" s="85"/>
      <c r="AQ987" s="85"/>
      <c r="AR987" s="85"/>
      <c r="AS987" s="85"/>
      <c r="AT987" s="205"/>
      <c r="AU987" s="85"/>
      <c r="AV987" s="196"/>
      <c r="AW987" s="85"/>
      <c r="AX987" s="85"/>
      <c r="AY987" s="39">
        <v>0.05</v>
      </c>
      <c r="AZ987" s="7">
        <v>278</v>
      </c>
      <c r="BA987" s="62"/>
      <c r="BB987" s="7" t="s">
        <v>1152</v>
      </c>
      <c r="BC987" s="7" t="s">
        <v>1343</v>
      </c>
      <c r="BD987" s="7"/>
      <c r="BE987" s="7" t="s">
        <v>1350</v>
      </c>
      <c r="BF987" s="39"/>
      <c r="BG987" s="7"/>
      <c r="BH987" s="62"/>
      <c r="BI987" s="7"/>
      <c r="BJ987" s="32">
        <v>1</v>
      </c>
      <c r="BK987" s="54"/>
    </row>
    <row r="988" spans="1:63" s="6" customFormat="1" ht="23.25" customHeight="1" thickBot="1" x14ac:dyDescent="0.25">
      <c r="A988" s="62">
        <v>987</v>
      </c>
      <c r="B988" s="220"/>
      <c r="C988" s="220"/>
      <c r="D988" s="13" t="s">
        <v>89</v>
      </c>
      <c r="E988" s="54"/>
      <c r="F988" s="16">
        <f>11*100/14</f>
        <v>78.571428571428569</v>
      </c>
      <c r="G988" s="8">
        <f t="shared" si="107"/>
        <v>8.5714285714285712</v>
      </c>
      <c r="H988" s="8">
        <v>0</v>
      </c>
      <c r="I988" s="8">
        <v>0</v>
      </c>
      <c r="J988" s="8">
        <f>0.8*100/14</f>
        <v>5.7142857142857144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17">
        <v>0</v>
      </c>
      <c r="T988" s="8">
        <f t="shared" si="105"/>
        <v>7.1428571428571432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14">
        <f t="shared" si="106"/>
        <v>99.999999999999986</v>
      </c>
      <c r="AE988" s="8">
        <v>0</v>
      </c>
      <c r="AF988" s="8">
        <v>0</v>
      </c>
      <c r="AG988" s="8">
        <v>0</v>
      </c>
      <c r="AH988" s="8">
        <v>0</v>
      </c>
      <c r="AI988" s="39" t="s">
        <v>1527</v>
      </c>
      <c r="AJ988" s="7">
        <v>24</v>
      </c>
      <c r="AK988" s="62">
        <v>1373</v>
      </c>
      <c r="AL988" s="200"/>
      <c r="AM988" s="190"/>
      <c r="AN988" s="190"/>
      <c r="AO988" s="190"/>
      <c r="AP988" s="190"/>
      <c r="AQ988" s="190"/>
      <c r="AR988" s="190"/>
      <c r="AS988" s="190"/>
      <c r="AT988" s="201"/>
      <c r="AU988" s="190"/>
      <c r="AV988" s="202"/>
      <c r="AW988" s="190"/>
      <c r="AX988" s="190"/>
      <c r="AY988" s="79">
        <v>0.05</v>
      </c>
      <c r="AZ988" s="65">
        <v>281</v>
      </c>
      <c r="BA988" s="78"/>
      <c r="BB988" s="65"/>
      <c r="BC988" s="65"/>
      <c r="BD988" s="65"/>
      <c r="BE988" s="65"/>
      <c r="BF988" s="79"/>
      <c r="BG988" s="65"/>
      <c r="BH988" s="78"/>
      <c r="BI988" s="65"/>
      <c r="BJ988" s="68"/>
      <c r="BK988" s="13"/>
    </row>
    <row r="989" spans="1:63" s="19" customFormat="1" ht="23.25" customHeight="1" thickBot="1" x14ac:dyDescent="0.25">
      <c r="A989" s="7">
        <v>988</v>
      </c>
      <c r="B989" s="108">
        <v>1009</v>
      </c>
      <c r="C989" s="108" t="s">
        <v>1623</v>
      </c>
      <c r="D989" s="21" t="s">
        <v>111</v>
      </c>
      <c r="E989" s="21"/>
      <c r="F989" s="99">
        <f>0.86*13*100/14</f>
        <v>79.857142857142861</v>
      </c>
      <c r="G989" s="100">
        <f>0.14*13*100/14</f>
        <v>13.000000000000002</v>
      </c>
      <c r="H989" s="100">
        <v>0</v>
      </c>
      <c r="I989" s="100">
        <v>0</v>
      </c>
      <c r="J989" s="100">
        <v>0</v>
      </c>
      <c r="K989" s="100">
        <v>0</v>
      </c>
      <c r="L989" s="100">
        <v>0</v>
      </c>
      <c r="M989" s="100">
        <v>0</v>
      </c>
      <c r="N989" s="100">
        <v>0</v>
      </c>
      <c r="O989" s="100">
        <v>0</v>
      </c>
      <c r="P989" s="100">
        <v>0</v>
      </c>
      <c r="Q989" s="100">
        <v>0</v>
      </c>
      <c r="R989" s="100">
        <v>0</v>
      </c>
      <c r="S989" s="101">
        <v>0</v>
      </c>
      <c r="T989" s="100">
        <f t="shared" ref="T989:T995" si="108">1*100/14</f>
        <v>7.1428571428571432</v>
      </c>
      <c r="U989" s="100">
        <v>0</v>
      </c>
      <c r="V989" s="100">
        <v>0</v>
      </c>
      <c r="W989" s="100">
        <v>0</v>
      </c>
      <c r="X989" s="100">
        <v>0</v>
      </c>
      <c r="Y989" s="100">
        <v>0</v>
      </c>
      <c r="Z989" s="100">
        <v>0</v>
      </c>
      <c r="AA989" s="100">
        <v>0</v>
      </c>
      <c r="AB989" s="100">
        <v>0</v>
      </c>
      <c r="AC989" s="100">
        <v>0</v>
      </c>
      <c r="AD989" s="102">
        <f t="shared" si="106"/>
        <v>100</v>
      </c>
      <c r="AE989" s="100">
        <v>0</v>
      </c>
      <c r="AF989" s="100">
        <v>0</v>
      </c>
      <c r="AG989" s="100">
        <v>0</v>
      </c>
      <c r="AH989" s="100">
        <v>0</v>
      </c>
      <c r="AI989" s="120"/>
      <c r="AJ989" s="98"/>
      <c r="AK989" s="105"/>
      <c r="AL989" s="206"/>
      <c r="AM989" s="194"/>
      <c r="AN989" s="194"/>
      <c r="AO989" s="194"/>
      <c r="AP989" s="194"/>
      <c r="AQ989" s="194"/>
      <c r="AR989" s="194"/>
      <c r="AS989" s="194"/>
      <c r="AT989" s="207"/>
      <c r="AU989" s="194"/>
      <c r="AV989" s="208"/>
      <c r="AW989" s="194"/>
      <c r="AX989" s="194"/>
      <c r="AY989" s="120"/>
      <c r="AZ989" s="98">
        <v>210</v>
      </c>
      <c r="BA989" s="105"/>
      <c r="BB989" s="98"/>
      <c r="BC989" s="98"/>
      <c r="BD989" s="98"/>
      <c r="BE989" s="98"/>
      <c r="BF989" s="120"/>
      <c r="BG989" s="98"/>
      <c r="BH989" s="105"/>
      <c r="BI989" s="98"/>
      <c r="BJ989" s="70"/>
      <c r="BK989" s="21"/>
    </row>
    <row r="990" spans="1:63" s="4" customFormat="1" ht="23.25" customHeight="1" x14ac:dyDescent="0.2">
      <c r="A990" s="62">
        <v>989</v>
      </c>
      <c r="B990" s="218">
        <v>1010</v>
      </c>
      <c r="C990" s="218" t="s">
        <v>1624</v>
      </c>
      <c r="D990" s="225" t="s">
        <v>1351</v>
      </c>
      <c r="E990" s="54" t="s">
        <v>1662</v>
      </c>
      <c r="F990" s="16">
        <f>11.14*100/14</f>
        <v>79.571428571428569</v>
      </c>
      <c r="G990" s="8">
        <f>1.1*100/14</f>
        <v>7.8571428571428585</v>
      </c>
      <c r="H990" s="8">
        <v>0</v>
      </c>
      <c r="I990" s="8">
        <f>0.1*100/14</f>
        <v>0.7142857142857143</v>
      </c>
      <c r="J990" s="8">
        <f>0.66*100/14</f>
        <v>4.7142857142857144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17">
        <v>0</v>
      </c>
      <c r="T990" s="8">
        <f t="shared" si="108"/>
        <v>7.1428571428571432</v>
      </c>
      <c r="U990" s="8">
        <v>0</v>
      </c>
      <c r="V990" s="8">
        <v>0</v>
      </c>
      <c r="W990" s="8">
        <v>0</v>
      </c>
      <c r="X990" s="8">
        <v>0</v>
      </c>
      <c r="Y990" s="8">
        <v>0</v>
      </c>
      <c r="Z990" s="8">
        <v>0</v>
      </c>
      <c r="AA990" s="8">
        <v>0</v>
      </c>
      <c r="AB990" s="8">
        <v>0</v>
      </c>
      <c r="AC990" s="8">
        <v>0</v>
      </c>
      <c r="AD990" s="14">
        <f t="shared" si="106"/>
        <v>99.999999999999986</v>
      </c>
      <c r="AE990" s="8">
        <v>0</v>
      </c>
      <c r="AF990" s="8">
        <v>0</v>
      </c>
      <c r="AG990" s="8">
        <v>0</v>
      </c>
      <c r="AH990" s="8">
        <v>0</v>
      </c>
      <c r="AI990" s="39" t="s">
        <v>1531</v>
      </c>
      <c r="AJ990" s="7">
        <v>360</v>
      </c>
      <c r="AK990" s="62">
        <v>1323</v>
      </c>
      <c r="AL990" s="197">
        <v>92</v>
      </c>
      <c r="AM990" s="189">
        <v>8</v>
      </c>
      <c r="AN990" s="189"/>
      <c r="AO990" s="189"/>
      <c r="AP990" s="189"/>
      <c r="AQ990" s="189"/>
      <c r="AR990" s="189"/>
      <c r="AS990" s="189"/>
      <c r="AT990" s="198"/>
      <c r="AU990" s="189">
        <v>1</v>
      </c>
      <c r="AV990" s="199">
        <f t="shared" ref="AV990:AV995" si="109">SUM(AL990:AT990)</f>
        <v>100</v>
      </c>
      <c r="AW990" s="189">
        <v>11.4802</v>
      </c>
      <c r="AX990" s="189"/>
      <c r="AY990" s="156"/>
      <c r="AZ990" s="45">
        <v>271</v>
      </c>
      <c r="BA990" s="91"/>
      <c r="BB990" s="45" t="s">
        <v>1152</v>
      </c>
      <c r="BC990" s="45" t="s">
        <v>1352</v>
      </c>
      <c r="BD990" s="45"/>
      <c r="BE990" s="45" t="s">
        <v>1355</v>
      </c>
      <c r="BF990" s="156"/>
      <c r="BG990" s="45"/>
      <c r="BH990" s="91"/>
      <c r="BI990" s="45"/>
      <c r="BJ990" s="67">
        <v>1</v>
      </c>
      <c r="BK990" s="12"/>
    </row>
    <row r="991" spans="1:63" ht="23.25" customHeight="1" x14ac:dyDescent="0.2">
      <c r="A991" s="7">
        <v>990</v>
      </c>
      <c r="B991" s="221"/>
      <c r="C991" s="221"/>
      <c r="D991" s="223"/>
      <c r="E991" s="54" t="s">
        <v>1663</v>
      </c>
      <c r="F991" s="16">
        <f>11.14*100/14</f>
        <v>79.571428571428569</v>
      </c>
      <c r="G991" s="8">
        <f>1*100/14</f>
        <v>7.1428571428571432</v>
      </c>
      <c r="H991" s="8">
        <v>0</v>
      </c>
      <c r="I991" s="8">
        <f>0.2*100/14</f>
        <v>1.4285714285714286</v>
      </c>
      <c r="J991" s="8">
        <f>0.66*100/14</f>
        <v>4.7142857142857144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17">
        <v>0</v>
      </c>
      <c r="T991" s="8">
        <f t="shared" si="108"/>
        <v>7.1428571428571432</v>
      </c>
      <c r="U991" s="8">
        <v>0</v>
      </c>
      <c r="V991" s="8">
        <v>0</v>
      </c>
      <c r="W991" s="8">
        <v>0</v>
      </c>
      <c r="X991" s="8">
        <v>0</v>
      </c>
      <c r="Y991" s="8">
        <v>0</v>
      </c>
      <c r="Z991" s="8">
        <v>0</v>
      </c>
      <c r="AA991" s="8">
        <v>0</v>
      </c>
      <c r="AB991" s="8">
        <v>0</v>
      </c>
      <c r="AC991" s="8">
        <v>0</v>
      </c>
      <c r="AD991" s="14">
        <f t="shared" si="106"/>
        <v>99.999999999999986</v>
      </c>
      <c r="AE991" s="8">
        <v>0</v>
      </c>
      <c r="AF991" s="8">
        <v>0</v>
      </c>
      <c r="AG991" s="8">
        <v>0</v>
      </c>
      <c r="AH991" s="8">
        <v>0</v>
      </c>
      <c r="AI991" s="39" t="s">
        <v>1531</v>
      </c>
      <c r="AJ991" s="7">
        <v>360</v>
      </c>
      <c r="AK991" s="62">
        <v>1323</v>
      </c>
      <c r="AL991" s="158">
        <v>88</v>
      </c>
      <c r="AM991" s="85">
        <v>12</v>
      </c>
      <c r="AN991" s="85"/>
      <c r="AO991" s="85"/>
      <c r="AP991" s="85"/>
      <c r="AQ991" s="85"/>
      <c r="AR991" s="85"/>
      <c r="AS991" s="85"/>
      <c r="AT991" s="205"/>
      <c r="AU991" s="85">
        <v>1</v>
      </c>
      <c r="AV991" s="196">
        <f t="shared" si="109"/>
        <v>100</v>
      </c>
      <c r="AW991" s="85">
        <v>11.4832</v>
      </c>
      <c r="AX991" s="85"/>
      <c r="AY991" s="39"/>
      <c r="AZ991" s="7">
        <v>275</v>
      </c>
      <c r="BA991" s="62"/>
      <c r="BB991" s="7" t="s">
        <v>1152</v>
      </c>
      <c r="BC991" s="7" t="s">
        <v>1353</v>
      </c>
      <c r="BD991" s="7"/>
      <c r="BE991" s="7" t="s">
        <v>1356</v>
      </c>
      <c r="BF991" s="39"/>
      <c r="BG991" s="7"/>
      <c r="BH991" s="62"/>
      <c r="BI991" s="7"/>
      <c r="BJ991" s="32">
        <v>1</v>
      </c>
      <c r="BK991" s="54"/>
    </row>
    <row r="992" spans="1:63" ht="23.25" customHeight="1" thickBot="1" x14ac:dyDescent="0.25">
      <c r="A992" s="62">
        <v>991</v>
      </c>
      <c r="B992" s="222"/>
      <c r="C992" s="222"/>
      <c r="D992" s="224"/>
      <c r="E992" s="54" t="s">
        <v>1664</v>
      </c>
      <c r="F992" s="16">
        <f>11.14*100/14</f>
        <v>79.571428571428569</v>
      </c>
      <c r="G992" s="8">
        <f>0.9*100/14</f>
        <v>6.4285714285714288</v>
      </c>
      <c r="H992" s="8">
        <v>0</v>
      </c>
      <c r="I992" s="8">
        <f>0.3*100/14</f>
        <v>2.1428571428571428</v>
      </c>
      <c r="J992" s="8">
        <f>0.66*100/14</f>
        <v>4.7142857142857144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17">
        <v>0</v>
      </c>
      <c r="T992" s="8">
        <f t="shared" si="108"/>
        <v>7.1428571428571432</v>
      </c>
      <c r="U992" s="8">
        <v>0</v>
      </c>
      <c r="V992" s="8">
        <v>0</v>
      </c>
      <c r="W992" s="8">
        <v>0</v>
      </c>
      <c r="X992" s="8">
        <v>0</v>
      </c>
      <c r="Y992" s="8">
        <v>0</v>
      </c>
      <c r="Z992" s="8">
        <v>0</v>
      </c>
      <c r="AA992" s="8">
        <v>0</v>
      </c>
      <c r="AB992" s="8">
        <v>0</v>
      </c>
      <c r="AC992" s="8">
        <v>0</v>
      </c>
      <c r="AD992" s="14">
        <f t="shared" si="106"/>
        <v>99.999999999999986</v>
      </c>
      <c r="AE992" s="8">
        <v>0</v>
      </c>
      <c r="AF992" s="8">
        <v>0</v>
      </c>
      <c r="AG992" s="8">
        <v>0</v>
      </c>
      <c r="AH992" s="8">
        <v>0</v>
      </c>
      <c r="AI992" s="39" t="s">
        <v>1531</v>
      </c>
      <c r="AJ992" s="7">
        <v>360</v>
      </c>
      <c r="AK992" s="62">
        <v>1323</v>
      </c>
      <c r="AL992" s="158">
        <v>86</v>
      </c>
      <c r="AM992" s="85">
        <v>14</v>
      </c>
      <c r="AN992" s="85"/>
      <c r="AO992" s="85"/>
      <c r="AP992" s="85"/>
      <c r="AQ992" s="85"/>
      <c r="AR992" s="85"/>
      <c r="AS992" s="85"/>
      <c r="AT992" s="205"/>
      <c r="AU992" s="85">
        <v>1</v>
      </c>
      <c r="AV992" s="196">
        <f t="shared" si="109"/>
        <v>100</v>
      </c>
      <c r="AW992" s="85">
        <v>11.486599999999999</v>
      </c>
      <c r="AX992" s="85"/>
      <c r="AY992" s="39"/>
      <c r="AZ992" s="7">
        <v>285</v>
      </c>
      <c r="BA992" s="62"/>
      <c r="BB992" s="7" t="s">
        <v>1152</v>
      </c>
      <c r="BC992" s="7" t="s">
        <v>1354</v>
      </c>
      <c r="BD992" s="7"/>
      <c r="BE992" s="7" t="s">
        <v>1357</v>
      </c>
      <c r="BF992" s="39"/>
      <c r="BG992" s="7"/>
      <c r="BH992" s="62"/>
      <c r="BI992" s="7"/>
      <c r="BJ992" s="32">
        <v>1</v>
      </c>
      <c r="BK992" s="54"/>
    </row>
    <row r="993" spans="1:63" s="4" customFormat="1" ht="23.25" customHeight="1" x14ac:dyDescent="0.2">
      <c r="A993" s="7">
        <v>992</v>
      </c>
      <c r="B993" s="218">
        <v>1011</v>
      </c>
      <c r="C993" s="218" t="s">
        <v>1625</v>
      </c>
      <c r="D993" s="225" t="s">
        <v>1358</v>
      </c>
      <c r="E993" s="12" t="s">
        <v>1662</v>
      </c>
      <c r="F993" s="87">
        <f>11.1*100/14</f>
        <v>79.285714285714292</v>
      </c>
      <c r="G993" s="88">
        <f>1.1*100/14</f>
        <v>7.8571428571428585</v>
      </c>
      <c r="H993" s="88">
        <v>0</v>
      </c>
      <c r="I993" s="88">
        <v>0</v>
      </c>
      <c r="J993" s="88">
        <f>0.7*100/14</f>
        <v>5</v>
      </c>
      <c r="K993" s="88">
        <v>0</v>
      </c>
      <c r="L993" s="88">
        <v>0</v>
      </c>
      <c r="M993" s="88">
        <v>0</v>
      </c>
      <c r="N993" s="88">
        <v>0</v>
      </c>
      <c r="O993" s="88">
        <v>0</v>
      </c>
      <c r="P993" s="88">
        <f>0.1*100/14</f>
        <v>0.7142857142857143</v>
      </c>
      <c r="Q993" s="88">
        <v>0</v>
      </c>
      <c r="R993" s="88">
        <v>0</v>
      </c>
      <c r="S993" s="89">
        <v>0</v>
      </c>
      <c r="T993" s="88">
        <f t="shared" si="108"/>
        <v>7.1428571428571432</v>
      </c>
      <c r="U993" s="88">
        <v>0</v>
      </c>
      <c r="V993" s="88">
        <v>0</v>
      </c>
      <c r="W993" s="88">
        <v>0</v>
      </c>
      <c r="X993" s="88">
        <v>0</v>
      </c>
      <c r="Y993" s="88">
        <v>0</v>
      </c>
      <c r="Z993" s="88">
        <v>0</v>
      </c>
      <c r="AA993" s="88">
        <v>0</v>
      </c>
      <c r="AB993" s="88">
        <v>0</v>
      </c>
      <c r="AC993" s="88">
        <v>0</v>
      </c>
      <c r="AD993" s="90">
        <f t="shared" si="106"/>
        <v>100</v>
      </c>
      <c r="AE993" s="88">
        <v>0</v>
      </c>
      <c r="AF993" s="88">
        <v>0</v>
      </c>
      <c r="AG993" s="88">
        <v>0</v>
      </c>
      <c r="AH993" s="88">
        <v>0</v>
      </c>
      <c r="AI993" s="156" t="s">
        <v>1531</v>
      </c>
      <c r="AJ993" s="45">
        <v>360</v>
      </c>
      <c r="AK993" s="91">
        <v>1323</v>
      </c>
      <c r="AL993" s="197">
        <v>92</v>
      </c>
      <c r="AM993" s="189">
        <v>8</v>
      </c>
      <c r="AN993" s="189"/>
      <c r="AO993" s="189"/>
      <c r="AP993" s="189"/>
      <c r="AQ993" s="189"/>
      <c r="AR993" s="189"/>
      <c r="AS993" s="189"/>
      <c r="AT993" s="198"/>
      <c r="AU993" s="189">
        <v>1</v>
      </c>
      <c r="AV993" s="199">
        <f t="shared" si="109"/>
        <v>100</v>
      </c>
      <c r="AW993" s="189">
        <v>11.474500000000001</v>
      </c>
      <c r="AX993" s="189"/>
      <c r="AY993" s="156"/>
      <c r="AZ993" s="45">
        <v>241</v>
      </c>
      <c r="BA993" s="91"/>
      <c r="BB993" s="45" t="s">
        <v>1238</v>
      </c>
      <c r="BC993" s="45" t="s">
        <v>1359</v>
      </c>
      <c r="BD993" s="45"/>
      <c r="BE993" s="45" t="s">
        <v>1360</v>
      </c>
      <c r="BF993" s="156"/>
      <c r="BG993" s="45"/>
      <c r="BH993" s="91"/>
      <c r="BI993" s="45"/>
      <c r="BJ993" s="67">
        <v>1</v>
      </c>
      <c r="BK993" s="12"/>
    </row>
    <row r="994" spans="1:63" ht="23.25" customHeight="1" x14ac:dyDescent="0.2">
      <c r="A994" s="62">
        <v>993</v>
      </c>
      <c r="B994" s="221"/>
      <c r="C994" s="221"/>
      <c r="D994" s="223"/>
      <c r="E994" s="54" t="s">
        <v>1663</v>
      </c>
      <c r="F994" s="16">
        <f>11*100/14</f>
        <v>78.571428571428569</v>
      </c>
      <c r="G994" s="8">
        <f>1.1*100/14</f>
        <v>7.8571428571428585</v>
      </c>
      <c r="H994" s="8">
        <v>0</v>
      </c>
      <c r="I994" s="8">
        <v>0</v>
      </c>
      <c r="J994" s="8">
        <f>0.7*100/14</f>
        <v>5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f>0.2*100/14</f>
        <v>1.4285714285714286</v>
      </c>
      <c r="Q994" s="8">
        <v>0</v>
      </c>
      <c r="R994" s="8">
        <v>0</v>
      </c>
      <c r="S994" s="17">
        <v>0</v>
      </c>
      <c r="T994" s="8">
        <f t="shared" si="108"/>
        <v>7.1428571428571432</v>
      </c>
      <c r="U994" s="8">
        <v>0</v>
      </c>
      <c r="V994" s="8">
        <v>0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  <c r="AB994" s="8">
        <v>0</v>
      </c>
      <c r="AC994" s="8">
        <v>0</v>
      </c>
      <c r="AD994" s="14">
        <f t="shared" si="106"/>
        <v>100</v>
      </c>
      <c r="AE994" s="8">
        <v>0</v>
      </c>
      <c r="AF994" s="8">
        <v>0</v>
      </c>
      <c r="AG994" s="8">
        <v>0</v>
      </c>
      <c r="AH994" s="8">
        <v>0</v>
      </c>
      <c r="AI994" s="39" t="s">
        <v>1531</v>
      </c>
      <c r="AJ994" s="7">
        <v>360</v>
      </c>
      <c r="AK994" s="62">
        <v>1323</v>
      </c>
      <c r="AL994" s="158">
        <v>91</v>
      </c>
      <c r="AM994" s="85">
        <v>9</v>
      </c>
      <c r="AN994" s="85"/>
      <c r="AO994" s="85"/>
      <c r="AP994" s="85"/>
      <c r="AQ994" s="85"/>
      <c r="AR994" s="85"/>
      <c r="AS994" s="85"/>
      <c r="AT994" s="205"/>
      <c r="AU994" s="85">
        <v>1</v>
      </c>
      <c r="AV994" s="196">
        <f t="shared" si="109"/>
        <v>100</v>
      </c>
      <c r="AW994" s="85">
        <v>11.470800000000001</v>
      </c>
      <c r="AX994" s="85"/>
      <c r="AY994" s="39"/>
      <c r="AZ994" s="7">
        <v>222</v>
      </c>
      <c r="BA994" s="62"/>
      <c r="BB994" s="7" t="s">
        <v>1238</v>
      </c>
      <c r="BC994" s="7" t="s">
        <v>1361</v>
      </c>
      <c r="BD994" s="7"/>
      <c r="BE994" s="7" t="s">
        <v>1362</v>
      </c>
      <c r="BF994" s="39"/>
      <c r="BG994" s="7"/>
      <c r="BH994" s="62"/>
      <c r="BI994" s="7"/>
      <c r="BJ994" s="32">
        <v>1</v>
      </c>
      <c r="BK994" s="54"/>
    </row>
    <row r="995" spans="1:63" s="6" customFormat="1" ht="23.25" customHeight="1" thickBot="1" x14ac:dyDescent="0.25">
      <c r="A995" s="7">
        <v>994</v>
      </c>
      <c r="B995" s="222"/>
      <c r="C995" s="222"/>
      <c r="D995" s="224"/>
      <c r="E995" s="13" t="s">
        <v>1664</v>
      </c>
      <c r="F995" s="80">
        <f>10.9*100/14</f>
        <v>77.857142857142861</v>
      </c>
      <c r="G995" s="81">
        <f>1.1*100/14</f>
        <v>7.8571428571428585</v>
      </c>
      <c r="H995" s="81">
        <v>0</v>
      </c>
      <c r="I995" s="81">
        <v>0</v>
      </c>
      <c r="J995" s="81">
        <f>0.7*100/14</f>
        <v>5</v>
      </c>
      <c r="K995" s="81">
        <v>0</v>
      </c>
      <c r="L995" s="81">
        <v>0</v>
      </c>
      <c r="M995" s="81">
        <v>0</v>
      </c>
      <c r="N995" s="81">
        <v>0</v>
      </c>
      <c r="O995" s="81">
        <v>0</v>
      </c>
      <c r="P995" s="81">
        <f>0.3*100/14</f>
        <v>2.1428571428571428</v>
      </c>
      <c r="Q995" s="81">
        <v>0</v>
      </c>
      <c r="R995" s="81">
        <v>0</v>
      </c>
      <c r="S995" s="82">
        <v>0</v>
      </c>
      <c r="T995" s="81">
        <f t="shared" si="108"/>
        <v>7.1428571428571432</v>
      </c>
      <c r="U995" s="81">
        <v>0</v>
      </c>
      <c r="V995" s="81">
        <v>0</v>
      </c>
      <c r="W995" s="81">
        <v>0</v>
      </c>
      <c r="X995" s="81">
        <v>0</v>
      </c>
      <c r="Y995" s="81">
        <v>0</v>
      </c>
      <c r="Z995" s="81">
        <v>0</v>
      </c>
      <c r="AA995" s="81">
        <v>0</v>
      </c>
      <c r="AB995" s="81">
        <v>0</v>
      </c>
      <c r="AC995" s="81">
        <v>0</v>
      </c>
      <c r="AD995" s="83">
        <f t="shared" si="106"/>
        <v>100</v>
      </c>
      <c r="AE995" s="81">
        <v>0</v>
      </c>
      <c r="AF995" s="81">
        <v>0</v>
      </c>
      <c r="AG995" s="81">
        <v>0</v>
      </c>
      <c r="AH995" s="81">
        <v>0</v>
      </c>
      <c r="AI995" s="79" t="s">
        <v>1531</v>
      </c>
      <c r="AJ995" s="65">
        <v>360</v>
      </c>
      <c r="AK995" s="78">
        <v>1323</v>
      </c>
      <c r="AL995" s="200">
        <v>90</v>
      </c>
      <c r="AM995" s="190">
        <v>10</v>
      </c>
      <c r="AN995" s="190"/>
      <c r="AO995" s="190"/>
      <c r="AP995" s="190"/>
      <c r="AQ995" s="190"/>
      <c r="AR995" s="190"/>
      <c r="AS995" s="190"/>
      <c r="AT995" s="201"/>
      <c r="AU995" s="190">
        <v>1</v>
      </c>
      <c r="AV995" s="202">
        <f t="shared" si="109"/>
        <v>100</v>
      </c>
      <c r="AW995" s="190">
        <v>11.467599999999999</v>
      </c>
      <c r="AX995" s="190"/>
      <c r="AY995" s="79"/>
      <c r="AZ995" s="65">
        <v>198</v>
      </c>
      <c r="BA995" s="78"/>
      <c r="BB995" s="65" t="s">
        <v>1238</v>
      </c>
      <c r="BC995" s="65" t="s">
        <v>1363</v>
      </c>
      <c r="BD995" s="65"/>
      <c r="BE995" s="65" t="s">
        <v>1364</v>
      </c>
      <c r="BF995" s="79"/>
      <c r="BG995" s="65"/>
      <c r="BH995" s="78"/>
      <c r="BI995" s="65"/>
      <c r="BJ995" s="68">
        <v>1</v>
      </c>
      <c r="BK995" s="13"/>
    </row>
    <row r="996" spans="1:63" ht="23.25" customHeight="1" thickBot="1" x14ac:dyDescent="0.25">
      <c r="A996" s="62">
        <v>995</v>
      </c>
      <c r="B996" s="110">
        <v>1012</v>
      </c>
      <c r="C996" s="110" t="s">
        <v>1626</v>
      </c>
      <c r="D996" s="54" t="s">
        <v>1249</v>
      </c>
      <c r="E996" s="54"/>
      <c r="F996" s="16">
        <f>0.95*11.8*100/14</f>
        <v>80.071428571428569</v>
      </c>
      <c r="G996" s="8">
        <f>1.2*100/14</f>
        <v>8.5714285714285712</v>
      </c>
      <c r="H996" s="8">
        <v>0</v>
      </c>
      <c r="I996" s="8">
        <v>0</v>
      </c>
      <c r="J996" s="8">
        <f>0.05*11.8*100/14</f>
        <v>4.2142857142857144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17">
        <v>0</v>
      </c>
      <c r="T996" s="8">
        <f>0.8*100/14</f>
        <v>5.7142857142857144</v>
      </c>
      <c r="U996" s="8">
        <v>0</v>
      </c>
      <c r="V996" s="8">
        <f>0.2*100/14</f>
        <v>1.4285714285714286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  <c r="AB996" s="8">
        <v>0</v>
      </c>
      <c r="AC996" s="8">
        <v>0</v>
      </c>
      <c r="AD996" s="14">
        <f t="shared" si="106"/>
        <v>99.999999999999986</v>
      </c>
      <c r="AE996" s="8">
        <v>0</v>
      </c>
      <c r="AF996" s="8">
        <v>0</v>
      </c>
      <c r="AG996" s="8">
        <v>0</v>
      </c>
      <c r="AH996" s="8">
        <v>0</v>
      </c>
      <c r="AI996" s="39" t="s">
        <v>1527</v>
      </c>
      <c r="AJ996" s="7">
        <v>12</v>
      </c>
      <c r="AK996" s="62">
        <v>1323</v>
      </c>
      <c r="AL996" s="158"/>
      <c r="AM996" s="85"/>
      <c r="AN996" s="85"/>
      <c r="AO996" s="85"/>
      <c r="AP996" s="85"/>
      <c r="AQ996" s="85"/>
      <c r="AR996" s="85"/>
      <c r="AS996" s="85"/>
      <c r="AT996" s="205"/>
      <c r="AU996" s="85"/>
      <c r="AV996" s="196"/>
      <c r="AW996" s="85"/>
      <c r="AX996" s="85"/>
      <c r="AY996" s="39"/>
      <c r="AZ996" s="7">
        <v>246</v>
      </c>
      <c r="BA996" s="62"/>
      <c r="BB996" s="7">
        <v>2</v>
      </c>
      <c r="BC996" s="7">
        <v>10.7</v>
      </c>
      <c r="BD996" s="7"/>
      <c r="BE996" s="7">
        <v>14.3</v>
      </c>
      <c r="BF996" s="39"/>
      <c r="BG996" s="7"/>
      <c r="BH996" s="62"/>
      <c r="BI996" s="7"/>
      <c r="BJ996" s="32"/>
      <c r="BK996" s="54"/>
    </row>
    <row r="997" spans="1:63" s="19" customFormat="1" ht="23.25" customHeight="1" thickBot="1" x14ac:dyDescent="0.25">
      <c r="A997" s="7">
        <v>996</v>
      </c>
      <c r="B997" s="108">
        <v>1013</v>
      </c>
      <c r="C997" s="108" t="s">
        <v>1627</v>
      </c>
      <c r="D997" s="21" t="s">
        <v>71</v>
      </c>
      <c r="E997" s="21"/>
      <c r="F997" s="99">
        <f>0.89*13*100/14</f>
        <v>82.642857142857139</v>
      </c>
      <c r="G997" s="100">
        <f>0.11*13*100/14</f>
        <v>10.214285714285714</v>
      </c>
      <c r="H997" s="100">
        <v>0</v>
      </c>
      <c r="I997" s="100">
        <v>0</v>
      </c>
      <c r="J997" s="100">
        <v>0</v>
      </c>
      <c r="K997" s="100">
        <v>0</v>
      </c>
      <c r="L997" s="100">
        <v>0</v>
      </c>
      <c r="M997" s="100">
        <v>0</v>
      </c>
      <c r="N997" s="100">
        <v>0</v>
      </c>
      <c r="O997" s="100">
        <v>0</v>
      </c>
      <c r="P997" s="100">
        <v>0</v>
      </c>
      <c r="Q997" s="100">
        <v>0</v>
      </c>
      <c r="R997" s="100">
        <v>0</v>
      </c>
      <c r="S997" s="101">
        <v>0</v>
      </c>
      <c r="T997" s="100">
        <f>1*100/14</f>
        <v>7.1428571428571432</v>
      </c>
      <c r="U997" s="100">
        <v>0</v>
      </c>
      <c r="V997" s="100">
        <v>0</v>
      </c>
      <c r="W997" s="100">
        <v>0</v>
      </c>
      <c r="X997" s="100">
        <v>0</v>
      </c>
      <c r="Y997" s="100">
        <v>0</v>
      </c>
      <c r="Z997" s="100">
        <v>0</v>
      </c>
      <c r="AA997" s="100">
        <v>0</v>
      </c>
      <c r="AB997" s="100">
        <v>0</v>
      </c>
      <c r="AC997" s="100">
        <v>0</v>
      </c>
      <c r="AD997" s="102">
        <f t="shared" si="106"/>
        <v>99.999999999999986</v>
      </c>
      <c r="AE997" s="100">
        <v>0</v>
      </c>
      <c r="AF997" s="100">
        <v>0</v>
      </c>
      <c r="AG997" s="100">
        <v>0</v>
      </c>
      <c r="AH997" s="100">
        <v>0</v>
      </c>
      <c r="AI997" s="120" t="s">
        <v>1527</v>
      </c>
      <c r="AJ997" s="98">
        <v>4</v>
      </c>
      <c r="AK997" s="105">
        <v>1323</v>
      </c>
      <c r="AL997" s="206"/>
      <c r="AM997" s="194"/>
      <c r="AN997" s="194"/>
      <c r="AO997" s="194"/>
      <c r="AP997" s="194"/>
      <c r="AQ997" s="194"/>
      <c r="AR997" s="194"/>
      <c r="AS997" s="194"/>
      <c r="AT997" s="207"/>
      <c r="AU997" s="194"/>
      <c r="AV997" s="208"/>
      <c r="AW997" s="194"/>
      <c r="AX997" s="194"/>
      <c r="AY997" s="120">
        <v>0.1</v>
      </c>
      <c r="AZ997" s="98">
        <v>191</v>
      </c>
      <c r="BA997" s="105"/>
      <c r="BB997" s="98"/>
      <c r="BC997" s="98"/>
      <c r="BD997" s="98"/>
      <c r="BE997" s="98"/>
      <c r="BF997" s="120"/>
      <c r="BG997" s="98"/>
      <c r="BH997" s="105"/>
      <c r="BI997" s="98"/>
      <c r="BJ997" s="70"/>
      <c r="BK997" s="21"/>
    </row>
    <row r="998" spans="1:63" ht="23.25" customHeight="1" x14ac:dyDescent="0.2">
      <c r="A998" s="62">
        <v>997</v>
      </c>
      <c r="B998" s="218">
        <v>1014</v>
      </c>
      <c r="C998" s="218" t="s">
        <v>1628</v>
      </c>
      <c r="D998" s="54" t="s">
        <v>10</v>
      </c>
      <c r="E998" s="54"/>
      <c r="F998" s="16">
        <f>11.5*100/14</f>
        <v>82.142857142857139</v>
      </c>
      <c r="G998" s="8">
        <f>1.5*100/14</f>
        <v>10.714285714285714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17">
        <v>0</v>
      </c>
      <c r="T998" s="8">
        <f>1*100/14</f>
        <v>7.1428571428571432</v>
      </c>
      <c r="U998" s="8">
        <v>0</v>
      </c>
      <c r="V998" s="8">
        <v>0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  <c r="AD998" s="14">
        <f t="shared" si="106"/>
        <v>99.999999999999986</v>
      </c>
      <c r="AE998" s="8">
        <v>0</v>
      </c>
      <c r="AF998" s="8">
        <v>0</v>
      </c>
      <c r="AG998" s="8">
        <v>0</v>
      </c>
      <c r="AH998" s="8">
        <v>0</v>
      </c>
      <c r="AI998" s="39" t="s">
        <v>1531</v>
      </c>
      <c r="AJ998" s="7">
        <v>480</v>
      </c>
      <c r="AK998" s="62">
        <v>1393</v>
      </c>
      <c r="AL998" s="158"/>
      <c r="AM998" s="85"/>
      <c r="AN998" s="85"/>
      <c r="AO998" s="85"/>
      <c r="AP998" s="85"/>
      <c r="AQ998" s="85"/>
      <c r="AR998" s="85"/>
      <c r="AS998" s="85"/>
      <c r="AT998" s="205"/>
      <c r="AU998" s="85"/>
      <c r="AV998" s="196"/>
      <c r="AW998" s="85"/>
      <c r="AX998" s="85"/>
      <c r="AY998" s="39">
        <v>0.01</v>
      </c>
      <c r="AZ998" s="7">
        <v>194</v>
      </c>
      <c r="BA998" s="62">
        <v>2.8</v>
      </c>
      <c r="BB998" s="7">
        <v>3</v>
      </c>
      <c r="BC998" s="7">
        <v>18.3</v>
      </c>
      <c r="BD998" s="7">
        <v>194.6</v>
      </c>
      <c r="BE998" s="7">
        <v>12.4</v>
      </c>
      <c r="BF998" s="39"/>
      <c r="BG998" s="7"/>
      <c r="BH998" s="62"/>
      <c r="BI998" s="7"/>
      <c r="BJ998" s="32">
        <v>1</v>
      </c>
      <c r="BK998" s="54"/>
    </row>
    <row r="999" spans="1:63" ht="23.25" customHeight="1" x14ac:dyDescent="0.2">
      <c r="A999" s="7">
        <v>998</v>
      </c>
      <c r="B999" s="221"/>
      <c r="C999" s="221"/>
      <c r="D999" s="54" t="s">
        <v>35</v>
      </c>
      <c r="E999" s="54"/>
      <c r="F999" s="16">
        <f>11.5*100/14</f>
        <v>82.142857142857139</v>
      </c>
      <c r="G999" s="8">
        <f>1.5*100/14</f>
        <v>10.714285714285714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17">
        <v>0</v>
      </c>
      <c r="T999" s="8">
        <f>0.8*100/14</f>
        <v>5.7142857142857144</v>
      </c>
      <c r="U999" s="8">
        <f>0.2*100/14</f>
        <v>1.4285714285714286</v>
      </c>
      <c r="V999" s="8">
        <v>0</v>
      </c>
      <c r="W999" s="8">
        <v>0</v>
      </c>
      <c r="X999" s="8">
        <v>0</v>
      </c>
      <c r="Y999" s="8">
        <v>0</v>
      </c>
      <c r="Z999" s="8">
        <v>0</v>
      </c>
      <c r="AA999" s="8">
        <v>0</v>
      </c>
      <c r="AB999" s="8">
        <v>0</v>
      </c>
      <c r="AC999" s="8">
        <v>0</v>
      </c>
      <c r="AD999" s="14">
        <f t="shared" si="106"/>
        <v>99.999999999999986</v>
      </c>
      <c r="AE999" s="8">
        <v>0</v>
      </c>
      <c r="AF999" s="8">
        <v>0</v>
      </c>
      <c r="AG999" s="8">
        <v>0</v>
      </c>
      <c r="AH999" s="8">
        <v>0</v>
      </c>
      <c r="AI999" s="39" t="s">
        <v>1531</v>
      </c>
      <c r="AJ999" s="7">
        <v>480</v>
      </c>
      <c r="AK999" s="62">
        <v>1393</v>
      </c>
      <c r="AL999" s="158"/>
      <c r="AM999" s="85"/>
      <c r="AN999" s="85"/>
      <c r="AO999" s="85"/>
      <c r="AP999" s="85"/>
      <c r="AQ999" s="85"/>
      <c r="AR999" s="85"/>
      <c r="AS999" s="85"/>
      <c r="AT999" s="205"/>
      <c r="AU999" s="85"/>
      <c r="AV999" s="196"/>
      <c r="AW999" s="85"/>
      <c r="AX999" s="85"/>
      <c r="AY999" s="39">
        <v>0.01</v>
      </c>
      <c r="AZ999" s="7">
        <v>188</v>
      </c>
      <c r="BA999" s="62">
        <v>4.3</v>
      </c>
      <c r="BB999" s="7">
        <v>3</v>
      </c>
      <c r="BC999" s="7">
        <v>22.6</v>
      </c>
      <c r="BD999" s="7">
        <v>189.8</v>
      </c>
      <c r="BE999" s="7">
        <v>13.57</v>
      </c>
      <c r="BF999" s="39"/>
      <c r="BG999" s="7"/>
      <c r="BH999" s="62"/>
      <c r="BI999" s="7"/>
      <c r="BJ999" s="32">
        <v>1</v>
      </c>
      <c r="BK999" s="54"/>
    </row>
    <row r="1000" spans="1:63" ht="23.25" customHeight="1" thickBot="1" x14ac:dyDescent="0.25">
      <c r="A1000" s="62">
        <v>999</v>
      </c>
      <c r="B1000" s="222"/>
      <c r="C1000" s="222"/>
      <c r="D1000" s="54" t="s">
        <v>169</v>
      </c>
      <c r="E1000" s="54"/>
      <c r="F1000" s="16">
        <f>11.5*100/14</f>
        <v>82.142857142857139</v>
      </c>
      <c r="G1000" s="8">
        <f>1.5*100/14</f>
        <v>10.714285714285714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17">
        <v>0</v>
      </c>
      <c r="T1000" s="8">
        <f>1*100/14</f>
        <v>7.1428571428571432</v>
      </c>
      <c r="U1000" s="8">
        <v>0</v>
      </c>
      <c r="V1000" s="8">
        <v>0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  <c r="AB1000" s="8">
        <v>0</v>
      </c>
      <c r="AC1000" s="8">
        <v>0</v>
      </c>
      <c r="AD1000" s="14">
        <f t="shared" si="106"/>
        <v>99.999999999999986</v>
      </c>
      <c r="AE1000" s="8">
        <v>0</v>
      </c>
      <c r="AF1000" s="8">
        <f>0.2*100/14</f>
        <v>1.4285714285714286</v>
      </c>
      <c r="AG1000" s="8">
        <v>0</v>
      </c>
      <c r="AH1000" s="8">
        <v>0</v>
      </c>
      <c r="AI1000" s="39" t="s">
        <v>1531</v>
      </c>
      <c r="AJ1000" s="7">
        <v>480</v>
      </c>
      <c r="AK1000" s="62">
        <v>1393</v>
      </c>
      <c r="AL1000" s="158"/>
      <c r="AM1000" s="85"/>
      <c r="AN1000" s="85"/>
      <c r="AO1000" s="85"/>
      <c r="AP1000" s="85"/>
      <c r="AQ1000" s="85"/>
      <c r="AR1000" s="85"/>
      <c r="AS1000" s="85"/>
      <c r="AT1000" s="205"/>
      <c r="AU1000" s="85"/>
      <c r="AV1000" s="196"/>
      <c r="AW1000" s="85"/>
      <c r="AX1000" s="85"/>
      <c r="AY1000" s="39">
        <v>0.01</v>
      </c>
      <c r="AZ1000" s="7">
        <v>232</v>
      </c>
      <c r="BA1000" s="62">
        <v>1.3</v>
      </c>
      <c r="BB1000" s="7">
        <v>3</v>
      </c>
      <c r="BC1000" s="7">
        <v>16.5</v>
      </c>
      <c r="BD1000" s="7">
        <v>232</v>
      </c>
      <c r="BE1000" s="7">
        <v>14.7</v>
      </c>
      <c r="BF1000" s="39"/>
      <c r="BG1000" s="7"/>
      <c r="BH1000" s="62"/>
      <c r="BI1000" s="7"/>
      <c r="BJ1000" s="32">
        <v>1</v>
      </c>
      <c r="BK1000" s="54"/>
    </row>
    <row r="1001" spans="1:63" s="4" customFormat="1" ht="23.25" customHeight="1" x14ac:dyDescent="0.2">
      <c r="A1001" s="7">
        <v>1000</v>
      </c>
      <c r="B1001" s="218">
        <v>1015</v>
      </c>
      <c r="C1001" s="218" t="s">
        <v>1629</v>
      </c>
      <c r="D1001" s="12" t="s">
        <v>1365</v>
      </c>
      <c r="E1001" s="12"/>
      <c r="F1001" s="87">
        <v>83.58</v>
      </c>
      <c r="G1001" s="88">
        <v>8.64</v>
      </c>
      <c r="H1001" s="88">
        <v>0</v>
      </c>
      <c r="I1001" s="88">
        <v>0</v>
      </c>
      <c r="J1001" s="88">
        <v>0</v>
      </c>
      <c r="K1001" s="88">
        <v>0</v>
      </c>
      <c r="L1001" s="88">
        <v>0</v>
      </c>
      <c r="M1001" s="88">
        <v>0</v>
      </c>
      <c r="N1001" s="88">
        <v>0</v>
      </c>
      <c r="O1001" s="88">
        <v>0</v>
      </c>
      <c r="P1001" s="88">
        <v>0.97</v>
      </c>
      <c r="Q1001" s="88">
        <v>0</v>
      </c>
      <c r="R1001" s="88">
        <v>0</v>
      </c>
      <c r="S1001" s="89">
        <v>0</v>
      </c>
      <c r="T1001" s="88">
        <v>6.81</v>
      </c>
      <c r="U1001" s="88">
        <v>0</v>
      </c>
      <c r="V1001" s="88">
        <v>0</v>
      </c>
      <c r="W1001" s="88">
        <v>0</v>
      </c>
      <c r="X1001" s="88">
        <v>0</v>
      </c>
      <c r="Y1001" s="88">
        <v>0</v>
      </c>
      <c r="Z1001" s="88">
        <v>0</v>
      </c>
      <c r="AA1001" s="88">
        <v>0</v>
      </c>
      <c r="AB1001" s="88">
        <v>0</v>
      </c>
      <c r="AC1001" s="88">
        <v>0</v>
      </c>
      <c r="AD1001" s="90">
        <f t="shared" si="106"/>
        <v>100</v>
      </c>
      <c r="AE1001" s="88">
        <f>1.8*100/14</f>
        <v>12.857142857142858</v>
      </c>
      <c r="AF1001" s="88">
        <v>0</v>
      </c>
      <c r="AG1001" s="88">
        <v>0</v>
      </c>
      <c r="AH1001" s="88">
        <v>0</v>
      </c>
      <c r="AI1001" s="156" t="s">
        <v>1531</v>
      </c>
      <c r="AJ1001" s="45"/>
      <c r="AK1001" s="91"/>
      <c r="AL1001" s="197"/>
      <c r="AM1001" s="189"/>
      <c r="AN1001" s="189"/>
      <c r="AO1001" s="189"/>
      <c r="AP1001" s="189"/>
      <c r="AQ1001" s="189"/>
      <c r="AR1001" s="189"/>
      <c r="AS1001" s="189"/>
      <c r="AT1001" s="198"/>
      <c r="AU1001" s="189"/>
      <c r="AV1001" s="199"/>
      <c r="AW1001" s="189"/>
      <c r="AX1001" s="189"/>
      <c r="AY1001" s="156"/>
      <c r="AZ1001" s="45">
        <v>318</v>
      </c>
      <c r="BA1001" s="91"/>
      <c r="BB1001" s="45"/>
      <c r="BC1001" s="45"/>
      <c r="BD1001" s="45"/>
      <c r="BE1001" s="45"/>
      <c r="BF1001" s="156"/>
      <c r="BG1001" s="45"/>
      <c r="BH1001" s="91"/>
      <c r="BI1001" s="45"/>
      <c r="BJ1001" s="67"/>
      <c r="BK1001" s="12"/>
    </row>
    <row r="1002" spans="1:63" ht="23.25" customHeight="1" x14ac:dyDescent="0.2">
      <c r="A1002" s="62">
        <v>1001</v>
      </c>
      <c r="B1002" s="221"/>
      <c r="C1002" s="221"/>
      <c r="D1002" s="54" t="s">
        <v>1365</v>
      </c>
      <c r="E1002" s="54"/>
      <c r="F1002" s="16">
        <v>82.39</v>
      </c>
      <c r="G1002" s="8">
        <v>8.56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1.0900000000000001</v>
      </c>
      <c r="Q1002" s="8">
        <v>0</v>
      </c>
      <c r="R1002" s="8">
        <v>0</v>
      </c>
      <c r="S1002" s="17">
        <v>0</v>
      </c>
      <c r="T1002" s="8">
        <v>7.96</v>
      </c>
      <c r="U1002" s="8">
        <v>0</v>
      </c>
      <c r="V1002" s="8">
        <v>0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  <c r="AB1002" s="8">
        <v>0</v>
      </c>
      <c r="AC1002" s="8">
        <v>0</v>
      </c>
      <c r="AD1002" s="14">
        <f t="shared" si="106"/>
        <v>100</v>
      </c>
      <c r="AE1002" s="8">
        <f>1.8*100/14</f>
        <v>12.857142857142858</v>
      </c>
      <c r="AF1002" s="8">
        <v>0</v>
      </c>
      <c r="AG1002" s="8">
        <v>0</v>
      </c>
      <c r="AH1002" s="8">
        <v>0</v>
      </c>
      <c r="AI1002" s="39" t="s">
        <v>1531</v>
      </c>
      <c r="AJ1002" s="7"/>
      <c r="AK1002" s="62"/>
      <c r="AL1002" s="158"/>
      <c r="AM1002" s="85"/>
      <c r="AN1002" s="85"/>
      <c r="AO1002" s="85"/>
      <c r="AP1002" s="85"/>
      <c r="AQ1002" s="85"/>
      <c r="AR1002" s="85"/>
      <c r="AS1002" s="85"/>
      <c r="AT1002" s="205"/>
      <c r="AU1002" s="85"/>
      <c r="AV1002" s="196"/>
      <c r="AW1002" s="85"/>
      <c r="AX1002" s="85"/>
      <c r="AY1002" s="39"/>
      <c r="AZ1002" s="7">
        <v>313</v>
      </c>
      <c r="BA1002" s="62"/>
      <c r="BB1002" s="7"/>
      <c r="BC1002" s="7"/>
      <c r="BD1002" s="7"/>
      <c r="BE1002" s="7"/>
      <c r="BF1002" s="39"/>
      <c r="BG1002" s="7"/>
      <c r="BH1002" s="62"/>
      <c r="BI1002" s="7"/>
      <c r="BJ1002" s="32"/>
      <c r="BK1002" s="54"/>
    </row>
    <row r="1003" spans="1:63" s="6" customFormat="1" ht="23.25" customHeight="1" thickBot="1" x14ac:dyDescent="0.25">
      <c r="A1003" s="7">
        <v>1002</v>
      </c>
      <c r="B1003" s="222"/>
      <c r="C1003" s="222"/>
      <c r="D1003" s="13" t="s">
        <v>1365</v>
      </c>
      <c r="E1003" s="13"/>
      <c r="F1003" s="80">
        <v>82.31</v>
      </c>
      <c r="G1003" s="81">
        <v>8.66</v>
      </c>
      <c r="H1003" s="81">
        <v>0</v>
      </c>
      <c r="I1003" s="81">
        <v>0</v>
      </c>
      <c r="J1003" s="81">
        <v>0</v>
      </c>
      <c r="K1003" s="81">
        <v>0</v>
      </c>
      <c r="L1003" s="81">
        <v>0</v>
      </c>
      <c r="M1003" s="81">
        <v>0</v>
      </c>
      <c r="N1003" s="81">
        <v>0</v>
      </c>
      <c r="O1003" s="81">
        <v>0</v>
      </c>
      <c r="P1003" s="81">
        <v>1.94</v>
      </c>
      <c r="Q1003" s="81">
        <v>0</v>
      </c>
      <c r="R1003" s="81">
        <v>0</v>
      </c>
      <c r="S1003" s="82">
        <v>0</v>
      </c>
      <c r="T1003" s="81">
        <v>7.09</v>
      </c>
      <c r="U1003" s="81">
        <v>0</v>
      </c>
      <c r="V1003" s="81">
        <v>0</v>
      </c>
      <c r="W1003" s="81">
        <v>0</v>
      </c>
      <c r="X1003" s="81">
        <v>0</v>
      </c>
      <c r="Y1003" s="81">
        <v>0</v>
      </c>
      <c r="Z1003" s="81">
        <v>0</v>
      </c>
      <c r="AA1003" s="81">
        <v>0</v>
      </c>
      <c r="AB1003" s="81">
        <v>0</v>
      </c>
      <c r="AC1003" s="81">
        <v>0</v>
      </c>
      <c r="AD1003" s="83">
        <f t="shared" si="106"/>
        <v>100</v>
      </c>
      <c r="AE1003" s="81">
        <f>1.8*100/14</f>
        <v>12.857142857142858</v>
      </c>
      <c r="AF1003" s="81">
        <v>0</v>
      </c>
      <c r="AG1003" s="81">
        <v>0</v>
      </c>
      <c r="AH1003" s="81">
        <v>0</v>
      </c>
      <c r="AI1003" s="79" t="s">
        <v>1531</v>
      </c>
      <c r="AJ1003" s="65"/>
      <c r="AK1003" s="78"/>
      <c r="AL1003" s="200"/>
      <c r="AM1003" s="190"/>
      <c r="AN1003" s="190"/>
      <c r="AO1003" s="190"/>
      <c r="AP1003" s="190"/>
      <c r="AQ1003" s="190"/>
      <c r="AR1003" s="190"/>
      <c r="AS1003" s="190"/>
      <c r="AT1003" s="201"/>
      <c r="AU1003" s="190"/>
      <c r="AV1003" s="202"/>
      <c r="AW1003" s="190"/>
      <c r="AX1003" s="190"/>
      <c r="AY1003" s="79"/>
      <c r="AZ1003" s="65">
        <v>298</v>
      </c>
      <c r="BA1003" s="78"/>
      <c r="BB1003" s="65"/>
      <c r="BC1003" s="65"/>
      <c r="BD1003" s="65"/>
      <c r="BE1003" s="65"/>
      <c r="BF1003" s="79"/>
      <c r="BG1003" s="65"/>
      <c r="BH1003" s="78"/>
      <c r="BI1003" s="65"/>
      <c r="BJ1003" s="68"/>
      <c r="BK1003" s="13"/>
    </row>
    <row r="1004" spans="1:63" ht="23.25" customHeight="1" x14ac:dyDescent="0.2">
      <c r="A1004" s="62">
        <v>1003</v>
      </c>
      <c r="B1004" s="218">
        <v>1016</v>
      </c>
      <c r="C1004" s="218" t="s">
        <v>1630</v>
      </c>
      <c r="D1004" s="225" t="s">
        <v>169</v>
      </c>
      <c r="E1004" s="54"/>
      <c r="F1004" s="16">
        <f>11.5*100/14</f>
        <v>82.142857142857139</v>
      </c>
      <c r="G1004" s="8">
        <f t="shared" ref="G1004:G1018" si="110">1.5*100/14</f>
        <v>10.714285714285714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17">
        <v>0</v>
      </c>
      <c r="T1004" s="8">
        <f t="shared" ref="T1004:T1018" si="111">1*100/14</f>
        <v>7.1428571428571432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  <c r="AD1004" s="14">
        <f t="shared" si="106"/>
        <v>99.999999999999986</v>
      </c>
      <c r="AE1004" s="8">
        <v>0</v>
      </c>
      <c r="AF1004" s="8">
        <f>0.2/14*100</f>
        <v>1.4285714285714286</v>
      </c>
      <c r="AG1004" s="8">
        <v>0</v>
      </c>
      <c r="AH1004" s="8">
        <v>0</v>
      </c>
      <c r="AI1004" s="39" t="s">
        <v>1529</v>
      </c>
      <c r="AJ1004" s="7"/>
      <c r="AK1004" s="62"/>
      <c r="AL1004" s="158"/>
      <c r="AM1004" s="85"/>
      <c r="AN1004" s="85"/>
      <c r="AO1004" s="85"/>
      <c r="AP1004" s="85"/>
      <c r="AQ1004" s="85"/>
      <c r="AR1004" s="85"/>
      <c r="AS1004" s="85"/>
      <c r="AT1004" s="205"/>
      <c r="AU1004" s="85"/>
      <c r="AV1004" s="196"/>
      <c r="AW1004" s="85">
        <v>11.4985</v>
      </c>
      <c r="AX1004" s="85"/>
      <c r="AY1004" s="39"/>
      <c r="AZ1004" s="7">
        <v>224</v>
      </c>
      <c r="BA1004" s="62"/>
      <c r="BB1004" s="7">
        <v>1.5</v>
      </c>
      <c r="BC1004" s="7">
        <v>2.4</v>
      </c>
      <c r="BD1004" s="7"/>
      <c r="BE1004" s="7">
        <v>18.600000000000001</v>
      </c>
      <c r="BF1004" s="39"/>
      <c r="BG1004" s="7"/>
      <c r="BH1004" s="62"/>
      <c r="BI1004" s="7"/>
      <c r="BJ1004" s="32">
        <v>1</v>
      </c>
      <c r="BK1004" s="174" t="s">
        <v>1735</v>
      </c>
    </row>
    <row r="1005" spans="1:63" ht="23.25" customHeight="1" x14ac:dyDescent="0.2">
      <c r="A1005" s="7">
        <v>1004</v>
      </c>
      <c r="B1005" s="221"/>
      <c r="C1005" s="221"/>
      <c r="D1005" s="223"/>
      <c r="E1005" s="54"/>
      <c r="F1005" s="16">
        <f>11.5*100/14</f>
        <v>82.142857142857139</v>
      </c>
      <c r="G1005" s="8">
        <f t="shared" si="110"/>
        <v>10.714285714285714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17">
        <v>0</v>
      </c>
      <c r="T1005" s="8">
        <f t="shared" si="111"/>
        <v>7.1428571428571432</v>
      </c>
      <c r="U1005" s="8">
        <v>0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14">
        <f t="shared" si="106"/>
        <v>99.999999999999986</v>
      </c>
      <c r="AE1005" s="8">
        <v>0</v>
      </c>
      <c r="AF1005" s="8">
        <f>0.2/14*100</f>
        <v>1.4285714285714286</v>
      </c>
      <c r="AG1005" s="8">
        <v>0</v>
      </c>
      <c r="AH1005" s="8">
        <v>0</v>
      </c>
      <c r="AI1005" s="39" t="s">
        <v>1529</v>
      </c>
      <c r="AJ1005" s="7">
        <f>3/60</f>
        <v>0.05</v>
      </c>
      <c r="AK1005" s="62">
        <v>1273</v>
      </c>
      <c r="AL1005" s="158"/>
      <c r="AM1005" s="85"/>
      <c r="AN1005" s="85"/>
      <c r="AO1005" s="85"/>
      <c r="AP1005" s="85"/>
      <c r="AQ1005" s="85"/>
      <c r="AR1005" s="85"/>
      <c r="AS1005" s="85"/>
      <c r="AT1005" s="205"/>
      <c r="AU1005" s="85"/>
      <c r="AV1005" s="196"/>
      <c r="AW1005" s="85">
        <v>11.5036</v>
      </c>
      <c r="AX1005" s="85"/>
      <c r="AY1005" s="39"/>
      <c r="AZ1005" s="7">
        <v>231</v>
      </c>
      <c r="BA1005" s="62"/>
      <c r="BB1005" s="7">
        <v>1.5</v>
      </c>
      <c r="BC1005" s="7">
        <v>6.1</v>
      </c>
      <c r="BD1005" s="7"/>
      <c r="BE1005" s="7">
        <v>13.6</v>
      </c>
      <c r="BF1005" s="39"/>
      <c r="BG1005" s="7"/>
      <c r="BH1005" s="62"/>
      <c r="BI1005" s="7"/>
      <c r="BJ1005" s="32">
        <v>1</v>
      </c>
      <c r="BK1005" s="54"/>
    </row>
    <row r="1006" spans="1:63" ht="23.25" customHeight="1" thickBot="1" x14ac:dyDescent="0.25">
      <c r="A1006" s="62">
        <v>1005</v>
      </c>
      <c r="B1006" s="222"/>
      <c r="C1006" s="222"/>
      <c r="D1006" s="224"/>
      <c r="E1006" s="54"/>
      <c r="F1006" s="16">
        <f>11.5*100/14</f>
        <v>82.142857142857139</v>
      </c>
      <c r="G1006" s="8">
        <f t="shared" si="110"/>
        <v>10.714285714285714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17">
        <v>0</v>
      </c>
      <c r="T1006" s="8">
        <f t="shared" si="111"/>
        <v>7.1428571428571432</v>
      </c>
      <c r="U1006" s="8">
        <v>0</v>
      </c>
      <c r="V1006" s="8">
        <v>0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  <c r="AD1006" s="14">
        <f t="shared" si="106"/>
        <v>99.999999999999986</v>
      </c>
      <c r="AE1006" s="8">
        <v>0</v>
      </c>
      <c r="AF1006" s="8">
        <f>0.2/14*100</f>
        <v>1.4285714285714286</v>
      </c>
      <c r="AG1006" s="8">
        <v>0</v>
      </c>
      <c r="AH1006" s="8">
        <v>0</v>
      </c>
      <c r="AI1006" s="39" t="s">
        <v>1529</v>
      </c>
      <c r="AJ1006" s="7">
        <v>2</v>
      </c>
      <c r="AK1006" s="62">
        <v>1273</v>
      </c>
      <c r="AL1006" s="158"/>
      <c r="AM1006" s="85"/>
      <c r="AN1006" s="85"/>
      <c r="AO1006" s="85"/>
      <c r="AP1006" s="85"/>
      <c r="AQ1006" s="85"/>
      <c r="AR1006" s="85"/>
      <c r="AS1006" s="85"/>
      <c r="AT1006" s="205"/>
      <c r="AU1006" s="85"/>
      <c r="AV1006" s="196"/>
      <c r="AW1006" s="85">
        <v>11.5107</v>
      </c>
      <c r="AX1006" s="85"/>
      <c r="AY1006" s="39"/>
      <c r="AZ1006" s="7">
        <v>255</v>
      </c>
      <c r="BA1006" s="62"/>
      <c r="BB1006" s="7">
        <v>1.5</v>
      </c>
      <c r="BC1006" s="7">
        <v>9.4499999999999993</v>
      </c>
      <c r="BD1006" s="7"/>
      <c r="BE1006" s="7">
        <v>12.75</v>
      </c>
      <c r="BF1006" s="39"/>
      <c r="BG1006" s="7"/>
      <c r="BH1006" s="62"/>
      <c r="BI1006" s="7"/>
      <c r="BJ1006" s="32">
        <v>1</v>
      </c>
      <c r="BK1006" s="54"/>
    </row>
    <row r="1007" spans="1:63" s="4" customFormat="1" ht="23.25" customHeight="1" x14ac:dyDescent="0.2">
      <c r="A1007" s="7">
        <v>1006</v>
      </c>
      <c r="B1007" s="218" t="s">
        <v>1850</v>
      </c>
      <c r="C1007" s="218" t="s">
        <v>1631</v>
      </c>
      <c r="D1007" s="12" t="s">
        <v>1366</v>
      </c>
      <c r="E1007" s="12" t="s">
        <v>1683</v>
      </c>
      <c r="F1007" s="87">
        <f>10.7*100/14</f>
        <v>76.428571428571431</v>
      </c>
      <c r="G1007" s="88">
        <f t="shared" si="110"/>
        <v>10.714285714285714</v>
      </c>
      <c r="H1007" s="88">
        <v>0</v>
      </c>
      <c r="I1007" s="88">
        <v>0</v>
      </c>
      <c r="J1007" s="88">
        <f>0.8*100/14</f>
        <v>5.7142857142857144</v>
      </c>
      <c r="K1007" s="88">
        <v>0</v>
      </c>
      <c r="L1007" s="88">
        <v>0</v>
      </c>
      <c r="M1007" s="88">
        <v>0</v>
      </c>
      <c r="N1007" s="88">
        <v>0</v>
      </c>
      <c r="O1007" s="88">
        <v>0</v>
      </c>
      <c r="P1007" s="88">
        <v>0</v>
      </c>
      <c r="Q1007" s="88">
        <v>0</v>
      </c>
      <c r="R1007" s="88">
        <v>0</v>
      </c>
      <c r="S1007" s="89">
        <v>0</v>
      </c>
      <c r="T1007" s="88">
        <f t="shared" si="111"/>
        <v>7.1428571428571432</v>
      </c>
      <c r="U1007" s="88">
        <v>0</v>
      </c>
      <c r="V1007" s="88">
        <v>0</v>
      </c>
      <c r="W1007" s="88">
        <v>0</v>
      </c>
      <c r="X1007" s="88">
        <v>0</v>
      </c>
      <c r="Y1007" s="88">
        <v>0</v>
      </c>
      <c r="Z1007" s="88">
        <v>0</v>
      </c>
      <c r="AA1007" s="88">
        <v>0</v>
      </c>
      <c r="AB1007" s="88">
        <v>0</v>
      </c>
      <c r="AC1007" s="88">
        <v>0</v>
      </c>
      <c r="AD1007" s="90">
        <f t="shared" si="106"/>
        <v>99.999999999999986</v>
      </c>
      <c r="AE1007" s="88">
        <v>0</v>
      </c>
      <c r="AF1007" s="88">
        <v>0</v>
      </c>
      <c r="AG1007" s="88">
        <v>0</v>
      </c>
      <c r="AH1007" s="88">
        <v>0</v>
      </c>
      <c r="AI1007" s="156" t="s">
        <v>1528</v>
      </c>
      <c r="AJ1007" s="45"/>
      <c r="AK1007" s="91"/>
      <c r="AL1007" s="197"/>
      <c r="AM1007" s="189"/>
      <c r="AN1007" s="189"/>
      <c r="AO1007" s="189"/>
      <c r="AP1007" s="189"/>
      <c r="AQ1007" s="189"/>
      <c r="AR1007" s="189"/>
      <c r="AS1007" s="189"/>
      <c r="AT1007" s="198"/>
      <c r="AU1007" s="189"/>
      <c r="AV1007" s="199"/>
      <c r="AW1007" s="189"/>
      <c r="AX1007" s="189"/>
      <c r="AY1007" s="156"/>
      <c r="AZ1007" s="45">
        <v>291.10000000000002</v>
      </c>
      <c r="BA1007" s="91"/>
      <c r="BB1007" s="45">
        <v>1</v>
      </c>
      <c r="BC1007" s="45">
        <v>1.95</v>
      </c>
      <c r="BD1007" s="45">
        <v>291.14</v>
      </c>
      <c r="BE1007" s="45">
        <v>39</v>
      </c>
      <c r="BF1007" s="156"/>
      <c r="BG1007" s="45"/>
      <c r="BH1007" s="91"/>
      <c r="BI1007" s="45"/>
      <c r="BJ1007" s="67"/>
      <c r="BK1007" s="261" t="s">
        <v>1371</v>
      </c>
    </row>
    <row r="1008" spans="1:63" ht="23.25" customHeight="1" x14ac:dyDescent="0.2">
      <c r="A1008" s="62">
        <v>1007</v>
      </c>
      <c r="B1008" s="219"/>
      <c r="C1008" s="219"/>
      <c r="D1008" s="54" t="s">
        <v>1366</v>
      </c>
      <c r="E1008" s="54" t="s">
        <v>1689</v>
      </c>
      <c r="F1008" s="16">
        <f>10.7*100/14</f>
        <v>76.428571428571431</v>
      </c>
      <c r="G1008" s="8">
        <f t="shared" si="110"/>
        <v>10.714285714285714</v>
      </c>
      <c r="H1008" s="8">
        <v>0</v>
      </c>
      <c r="I1008" s="8">
        <v>0</v>
      </c>
      <c r="J1008" s="8">
        <f>0.8*100/14</f>
        <v>5.7142857142857144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17">
        <v>0</v>
      </c>
      <c r="T1008" s="8">
        <f t="shared" si="111"/>
        <v>7.1428571428571432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14">
        <f t="shared" si="106"/>
        <v>99.999999999999986</v>
      </c>
      <c r="AE1008" s="8">
        <f>1.4*100/14</f>
        <v>10</v>
      </c>
      <c r="AF1008" s="8">
        <v>0</v>
      </c>
      <c r="AG1008" s="8">
        <v>0</v>
      </c>
      <c r="AH1008" s="8">
        <v>0</v>
      </c>
      <c r="AI1008" s="39" t="s">
        <v>1528</v>
      </c>
      <c r="AJ1008" s="7"/>
      <c r="AK1008" s="62"/>
      <c r="AL1008" s="158"/>
      <c r="AM1008" s="85"/>
      <c r="AN1008" s="85"/>
      <c r="AO1008" s="85"/>
      <c r="AP1008" s="85"/>
      <c r="AQ1008" s="85"/>
      <c r="AR1008" s="85"/>
      <c r="AS1008" s="85"/>
      <c r="AT1008" s="205"/>
      <c r="AU1008" s="85"/>
      <c r="AV1008" s="196"/>
      <c r="AW1008" s="85"/>
      <c r="AX1008" s="85"/>
      <c r="AY1008" s="39"/>
      <c r="AZ1008" s="7">
        <v>390.8</v>
      </c>
      <c r="BA1008" s="62"/>
      <c r="BB1008" s="7">
        <v>1</v>
      </c>
      <c r="BC1008" s="7">
        <v>2.0499999999999998</v>
      </c>
      <c r="BD1008" s="7">
        <v>390.8</v>
      </c>
      <c r="BE1008" s="7">
        <v>32.5</v>
      </c>
      <c r="BF1008" s="39"/>
      <c r="BG1008" s="7"/>
      <c r="BH1008" s="62"/>
      <c r="BI1008" s="7"/>
      <c r="BJ1008" s="32"/>
      <c r="BK1008" s="262"/>
    </row>
    <row r="1009" spans="1:63" ht="23.25" customHeight="1" x14ac:dyDescent="0.2">
      <c r="A1009" s="7">
        <v>1008</v>
      </c>
      <c r="B1009" s="219"/>
      <c r="C1009" s="219"/>
      <c r="D1009" s="223" t="s">
        <v>1367</v>
      </c>
      <c r="E1009" s="54" t="s">
        <v>1683</v>
      </c>
      <c r="F1009" s="16">
        <f>11.5*100/14</f>
        <v>82.142857142857139</v>
      </c>
      <c r="G1009" s="8">
        <f t="shared" si="110"/>
        <v>10.714285714285714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17">
        <v>0</v>
      </c>
      <c r="T1009" s="8">
        <f t="shared" si="111"/>
        <v>7.1428571428571432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14">
        <f t="shared" si="106"/>
        <v>99.999999999999986</v>
      </c>
      <c r="AE1009" s="8">
        <v>0</v>
      </c>
      <c r="AF1009" s="8">
        <v>0</v>
      </c>
      <c r="AG1009" s="8">
        <v>0</v>
      </c>
      <c r="AH1009" s="8">
        <v>0</v>
      </c>
      <c r="AI1009" s="39" t="s">
        <v>1528</v>
      </c>
      <c r="AJ1009" s="7"/>
      <c r="AK1009" s="62"/>
      <c r="AL1009" s="158"/>
      <c r="AM1009" s="85"/>
      <c r="AN1009" s="85"/>
      <c r="AO1009" s="85"/>
      <c r="AP1009" s="85"/>
      <c r="AQ1009" s="85"/>
      <c r="AR1009" s="85"/>
      <c r="AS1009" s="85"/>
      <c r="AT1009" s="205"/>
      <c r="AU1009" s="85"/>
      <c r="AV1009" s="196"/>
      <c r="AW1009" s="85"/>
      <c r="AX1009" s="85"/>
      <c r="AY1009" s="39"/>
      <c r="AZ1009" s="7">
        <v>219.5</v>
      </c>
      <c r="BA1009" s="62"/>
      <c r="BB1009" s="7"/>
      <c r="BC1009" s="7"/>
      <c r="BD1009" s="7"/>
      <c r="BE1009" s="7"/>
      <c r="BF1009" s="39"/>
      <c r="BG1009" s="7"/>
      <c r="BH1009" s="62"/>
      <c r="BI1009" s="7"/>
      <c r="BJ1009" s="32"/>
      <c r="BK1009" s="262"/>
    </row>
    <row r="1010" spans="1:63" ht="23.25" customHeight="1" x14ac:dyDescent="0.2">
      <c r="A1010" s="62">
        <v>1009</v>
      </c>
      <c r="B1010" s="219"/>
      <c r="C1010" s="219"/>
      <c r="D1010" s="223"/>
      <c r="E1010" s="54" t="s">
        <v>1687</v>
      </c>
      <c r="F1010" s="16">
        <f>11.5*100/14</f>
        <v>82.142857142857139</v>
      </c>
      <c r="G1010" s="8">
        <f t="shared" si="110"/>
        <v>10.714285714285714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17">
        <v>0</v>
      </c>
      <c r="T1010" s="8">
        <f t="shared" si="111"/>
        <v>7.1428571428571432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14">
        <f t="shared" si="106"/>
        <v>99.999999999999986</v>
      </c>
      <c r="AE1010" s="8">
        <f>0.3*100/14</f>
        <v>2.1428571428571428</v>
      </c>
      <c r="AF1010" s="8">
        <v>0</v>
      </c>
      <c r="AG1010" s="8">
        <v>0</v>
      </c>
      <c r="AH1010" s="8">
        <v>0</v>
      </c>
      <c r="AI1010" s="39" t="s">
        <v>1528</v>
      </c>
      <c r="AJ1010" s="7"/>
      <c r="AK1010" s="62"/>
      <c r="AL1010" s="158"/>
      <c r="AM1010" s="85"/>
      <c r="AN1010" s="85"/>
      <c r="AO1010" s="85"/>
      <c r="AP1010" s="85"/>
      <c r="AQ1010" s="85"/>
      <c r="AR1010" s="85"/>
      <c r="AS1010" s="85"/>
      <c r="AT1010" s="205"/>
      <c r="AU1010" s="85"/>
      <c r="AV1010" s="196"/>
      <c r="AW1010" s="85"/>
      <c r="AX1010" s="85"/>
      <c r="AY1010" s="39"/>
      <c r="AZ1010" s="7">
        <v>248</v>
      </c>
      <c r="BA1010" s="62"/>
      <c r="BB1010" s="7"/>
      <c r="BC1010" s="7"/>
      <c r="BD1010" s="7"/>
      <c r="BE1010" s="7"/>
      <c r="BF1010" s="39"/>
      <c r="BG1010" s="7"/>
      <c r="BH1010" s="62"/>
      <c r="BI1010" s="7"/>
      <c r="BJ1010" s="32"/>
      <c r="BK1010" s="262"/>
    </row>
    <row r="1011" spans="1:63" ht="23.25" customHeight="1" x14ac:dyDescent="0.2">
      <c r="A1011" s="7">
        <v>1010</v>
      </c>
      <c r="B1011" s="219"/>
      <c r="C1011" s="219"/>
      <c r="D1011" s="223"/>
      <c r="E1011" s="54" t="s">
        <v>1688</v>
      </c>
      <c r="F1011" s="16">
        <f>11.5*100/14</f>
        <v>82.142857142857139</v>
      </c>
      <c r="G1011" s="8">
        <f t="shared" si="110"/>
        <v>10.714285714285714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17">
        <v>0</v>
      </c>
      <c r="T1011" s="8">
        <f t="shared" si="111"/>
        <v>7.1428571428571432</v>
      </c>
      <c r="U1011" s="8">
        <v>0</v>
      </c>
      <c r="V1011" s="8">
        <v>0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  <c r="AD1011" s="14">
        <f t="shared" si="106"/>
        <v>99.999999999999986</v>
      </c>
      <c r="AE1011" s="8">
        <f>1*100/14</f>
        <v>7.1428571428571432</v>
      </c>
      <c r="AF1011" s="8">
        <v>0</v>
      </c>
      <c r="AG1011" s="8">
        <v>0</v>
      </c>
      <c r="AH1011" s="8">
        <v>0</v>
      </c>
      <c r="AI1011" s="39" t="s">
        <v>1528</v>
      </c>
      <c r="AJ1011" s="7"/>
      <c r="AK1011" s="62"/>
      <c r="AL1011" s="158"/>
      <c r="AM1011" s="85"/>
      <c r="AN1011" s="85"/>
      <c r="AO1011" s="85"/>
      <c r="AP1011" s="85"/>
      <c r="AQ1011" s="85"/>
      <c r="AR1011" s="85"/>
      <c r="AS1011" s="85"/>
      <c r="AT1011" s="205"/>
      <c r="AU1011" s="85"/>
      <c r="AV1011" s="196"/>
      <c r="AW1011" s="85"/>
      <c r="AX1011" s="85"/>
      <c r="AY1011" s="39"/>
      <c r="AZ1011" s="7">
        <v>292</v>
      </c>
      <c r="BA1011" s="62"/>
      <c r="BB1011" s="7"/>
      <c r="BC1011" s="7"/>
      <c r="BD1011" s="7"/>
      <c r="BE1011" s="7"/>
      <c r="BF1011" s="39"/>
      <c r="BG1011" s="7"/>
      <c r="BH1011" s="62"/>
      <c r="BI1011" s="7"/>
      <c r="BJ1011" s="32"/>
      <c r="BK1011" s="262"/>
    </row>
    <row r="1012" spans="1:63" ht="23.25" customHeight="1" x14ac:dyDescent="0.2">
      <c r="A1012" s="62">
        <v>1011</v>
      </c>
      <c r="B1012" s="219"/>
      <c r="C1012" s="219"/>
      <c r="D1012" s="223"/>
      <c r="E1012" s="54" t="s">
        <v>1689</v>
      </c>
      <c r="F1012" s="16">
        <f>11.5*100/14</f>
        <v>82.142857142857139</v>
      </c>
      <c r="G1012" s="8">
        <f t="shared" si="110"/>
        <v>10.714285714285714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17">
        <v>0</v>
      </c>
      <c r="T1012" s="8">
        <f t="shared" si="111"/>
        <v>7.1428571428571432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14">
        <f t="shared" si="106"/>
        <v>99.999999999999986</v>
      </c>
      <c r="AE1012" s="8">
        <f>1.4*100/14</f>
        <v>10</v>
      </c>
      <c r="AF1012" s="8">
        <v>0</v>
      </c>
      <c r="AG1012" s="8">
        <v>0</v>
      </c>
      <c r="AH1012" s="8">
        <v>0</v>
      </c>
      <c r="AI1012" s="39" t="s">
        <v>1528</v>
      </c>
      <c r="AJ1012" s="7"/>
      <c r="AK1012" s="62"/>
      <c r="AL1012" s="158"/>
      <c r="AM1012" s="85"/>
      <c r="AN1012" s="85"/>
      <c r="AO1012" s="85"/>
      <c r="AP1012" s="85"/>
      <c r="AQ1012" s="85"/>
      <c r="AR1012" s="85"/>
      <c r="AS1012" s="85"/>
      <c r="AT1012" s="205"/>
      <c r="AU1012" s="85"/>
      <c r="AV1012" s="196"/>
      <c r="AW1012" s="85"/>
      <c r="AX1012" s="85"/>
      <c r="AY1012" s="39"/>
      <c r="AZ1012" s="7">
        <v>329.9</v>
      </c>
      <c r="BA1012" s="62"/>
      <c r="BB1012" s="7"/>
      <c r="BC1012" s="7"/>
      <c r="BD1012" s="7"/>
      <c r="BE1012" s="7"/>
      <c r="BF1012" s="39"/>
      <c r="BG1012" s="7"/>
      <c r="BH1012" s="62"/>
      <c r="BI1012" s="7"/>
      <c r="BJ1012" s="32"/>
      <c r="BK1012" s="262"/>
    </row>
    <row r="1013" spans="1:63" ht="23.25" customHeight="1" x14ac:dyDescent="0.2">
      <c r="A1013" s="7">
        <v>1012</v>
      </c>
      <c r="B1013" s="219"/>
      <c r="C1013" s="219"/>
      <c r="D1013" s="223"/>
      <c r="E1013" s="54" t="s">
        <v>1690</v>
      </c>
      <c r="F1013" s="16">
        <f>11.5*100/14</f>
        <v>82.142857142857139</v>
      </c>
      <c r="G1013" s="8">
        <f t="shared" si="110"/>
        <v>10.714285714285714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17">
        <v>0</v>
      </c>
      <c r="T1013" s="8">
        <f t="shared" si="111"/>
        <v>7.1428571428571432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14">
        <f t="shared" si="106"/>
        <v>99.999999999999986</v>
      </c>
      <c r="AE1013" s="8">
        <f>1.6*100/14</f>
        <v>11.428571428571429</v>
      </c>
      <c r="AF1013" s="8">
        <v>0</v>
      </c>
      <c r="AG1013" s="8">
        <v>0</v>
      </c>
      <c r="AH1013" s="8">
        <v>0</v>
      </c>
      <c r="AI1013" s="39" t="s">
        <v>1528</v>
      </c>
      <c r="AJ1013" s="7"/>
      <c r="AK1013" s="62"/>
      <c r="AL1013" s="158"/>
      <c r="AM1013" s="85"/>
      <c r="AN1013" s="85"/>
      <c r="AO1013" s="85"/>
      <c r="AP1013" s="85"/>
      <c r="AQ1013" s="85"/>
      <c r="AR1013" s="85"/>
      <c r="AS1013" s="85"/>
      <c r="AT1013" s="205"/>
      <c r="AU1013" s="85"/>
      <c r="AV1013" s="196"/>
      <c r="AW1013" s="85"/>
      <c r="AX1013" s="85"/>
      <c r="AY1013" s="39"/>
      <c r="AZ1013" s="7">
        <v>348.3</v>
      </c>
      <c r="BA1013" s="62"/>
      <c r="BB1013" s="7"/>
      <c r="BC1013" s="7"/>
      <c r="BD1013" s="7"/>
      <c r="BE1013" s="7"/>
      <c r="BF1013" s="39"/>
      <c r="BG1013" s="7"/>
      <c r="BH1013" s="62"/>
      <c r="BI1013" s="7"/>
      <c r="BJ1013" s="32"/>
      <c r="BK1013" s="262"/>
    </row>
    <row r="1014" spans="1:63" ht="23.25" customHeight="1" x14ac:dyDescent="0.2">
      <c r="A1014" s="62">
        <v>1013</v>
      </c>
      <c r="B1014" s="219"/>
      <c r="C1014" s="219"/>
      <c r="D1014" s="223" t="s">
        <v>1368</v>
      </c>
      <c r="E1014" s="54" t="s">
        <v>1683</v>
      </c>
      <c r="F1014" s="16">
        <f>11.18*100/14</f>
        <v>79.857142857142861</v>
      </c>
      <c r="G1014" s="8">
        <f t="shared" si="110"/>
        <v>10.714285714285714</v>
      </c>
      <c r="H1014" s="8">
        <v>0</v>
      </c>
      <c r="I1014" s="8">
        <v>0</v>
      </c>
      <c r="J1014" s="8">
        <f>0.32*100/14</f>
        <v>2.2857142857142856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17">
        <v>0</v>
      </c>
      <c r="T1014" s="8">
        <f t="shared" si="111"/>
        <v>7.1428571428571432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14">
        <f t="shared" si="106"/>
        <v>100</v>
      </c>
      <c r="AE1014" s="8">
        <v>0</v>
      </c>
      <c r="AF1014" s="8">
        <v>0</v>
      </c>
      <c r="AG1014" s="8">
        <v>0</v>
      </c>
      <c r="AH1014" s="8">
        <v>0</v>
      </c>
      <c r="AI1014" s="39" t="s">
        <v>1528</v>
      </c>
      <c r="AJ1014" s="7"/>
      <c r="AK1014" s="62"/>
      <c r="AL1014" s="158"/>
      <c r="AM1014" s="85"/>
      <c r="AN1014" s="85"/>
      <c r="AO1014" s="85"/>
      <c r="AP1014" s="85"/>
      <c r="AQ1014" s="85"/>
      <c r="AR1014" s="85"/>
      <c r="AS1014" s="85"/>
      <c r="AT1014" s="205"/>
      <c r="AU1014" s="85"/>
      <c r="AV1014" s="196"/>
      <c r="AW1014" s="85"/>
      <c r="AX1014" s="85"/>
      <c r="AY1014" s="39"/>
      <c r="AZ1014" s="7">
        <v>240.3</v>
      </c>
      <c r="BA1014" s="62"/>
      <c r="BB1014" s="7"/>
      <c r="BC1014" s="7"/>
      <c r="BD1014" s="7"/>
      <c r="BE1014" s="7"/>
      <c r="BF1014" s="39"/>
      <c r="BG1014" s="7"/>
      <c r="BH1014" s="62"/>
      <c r="BI1014" s="7"/>
      <c r="BJ1014" s="32"/>
      <c r="BK1014" s="262"/>
    </row>
    <row r="1015" spans="1:63" ht="23.25" customHeight="1" x14ac:dyDescent="0.2">
      <c r="A1015" s="7">
        <v>1014</v>
      </c>
      <c r="B1015" s="219"/>
      <c r="C1015" s="219"/>
      <c r="D1015" s="223"/>
      <c r="E1015" s="54" t="s">
        <v>1691</v>
      </c>
      <c r="F1015" s="16">
        <f>11.18*100/14</f>
        <v>79.857142857142861</v>
      </c>
      <c r="G1015" s="8">
        <f t="shared" si="110"/>
        <v>10.714285714285714</v>
      </c>
      <c r="H1015" s="8">
        <v>0</v>
      </c>
      <c r="I1015" s="8">
        <v>0</v>
      </c>
      <c r="J1015" s="8">
        <f>0.32*100/14</f>
        <v>2.2857142857142856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17">
        <v>0</v>
      </c>
      <c r="T1015" s="8">
        <f t="shared" si="111"/>
        <v>7.1428571428571432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14">
        <f t="shared" si="106"/>
        <v>100</v>
      </c>
      <c r="AE1015" s="8">
        <f>1.2*100/14</f>
        <v>8.5714285714285712</v>
      </c>
      <c r="AF1015" s="8">
        <v>0</v>
      </c>
      <c r="AG1015" s="8">
        <v>0</v>
      </c>
      <c r="AH1015" s="8">
        <v>0</v>
      </c>
      <c r="AI1015" s="39" t="s">
        <v>1528</v>
      </c>
      <c r="AJ1015" s="7"/>
      <c r="AK1015" s="62"/>
      <c r="AL1015" s="158"/>
      <c r="AM1015" s="85"/>
      <c r="AN1015" s="85"/>
      <c r="AO1015" s="85"/>
      <c r="AP1015" s="85"/>
      <c r="AQ1015" s="85"/>
      <c r="AR1015" s="85"/>
      <c r="AS1015" s="85"/>
      <c r="AT1015" s="205"/>
      <c r="AU1015" s="85"/>
      <c r="AV1015" s="196"/>
      <c r="AW1015" s="85"/>
      <c r="AX1015" s="85"/>
      <c r="AY1015" s="39"/>
      <c r="AZ1015" s="7">
        <v>339.2</v>
      </c>
      <c r="BA1015" s="62"/>
      <c r="BB1015" s="7"/>
      <c r="BC1015" s="7"/>
      <c r="BD1015" s="7"/>
      <c r="BE1015" s="7"/>
      <c r="BF1015" s="39"/>
      <c r="BG1015" s="7"/>
      <c r="BH1015" s="62"/>
      <c r="BI1015" s="7"/>
      <c r="BJ1015" s="32"/>
      <c r="BK1015" s="262"/>
    </row>
    <row r="1016" spans="1:63" ht="23.25" customHeight="1" x14ac:dyDescent="0.2">
      <c r="A1016" s="62">
        <v>1015</v>
      </c>
      <c r="B1016" s="219"/>
      <c r="C1016" s="219"/>
      <c r="D1016" s="223"/>
      <c r="E1016" s="54" t="s">
        <v>1692</v>
      </c>
      <c r="F1016" s="16">
        <f>11.18*100/14</f>
        <v>79.857142857142861</v>
      </c>
      <c r="G1016" s="8">
        <f t="shared" si="110"/>
        <v>10.714285714285714</v>
      </c>
      <c r="H1016" s="8">
        <v>0</v>
      </c>
      <c r="I1016" s="8">
        <v>0</v>
      </c>
      <c r="J1016" s="8">
        <f>0.32*100/14</f>
        <v>2.2857142857142856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17">
        <v>0</v>
      </c>
      <c r="T1016" s="8">
        <f t="shared" si="111"/>
        <v>7.1428571428571432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14">
        <f t="shared" si="106"/>
        <v>100</v>
      </c>
      <c r="AE1016" s="8">
        <f>1.5*100/14</f>
        <v>10.714285714285714</v>
      </c>
      <c r="AF1016" s="8">
        <v>0</v>
      </c>
      <c r="AG1016" s="8">
        <v>0</v>
      </c>
      <c r="AH1016" s="8">
        <v>0</v>
      </c>
      <c r="AI1016" s="39" t="s">
        <v>1528</v>
      </c>
      <c r="AJ1016" s="7"/>
      <c r="AK1016" s="62"/>
      <c r="AL1016" s="158"/>
      <c r="AM1016" s="85"/>
      <c r="AN1016" s="85"/>
      <c r="AO1016" s="85"/>
      <c r="AP1016" s="85"/>
      <c r="AQ1016" s="85"/>
      <c r="AR1016" s="85"/>
      <c r="AS1016" s="85"/>
      <c r="AT1016" s="205"/>
      <c r="AU1016" s="85"/>
      <c r="AV1016" s="196"/>
      <c r="AW1016" s="85"/>
      <c r="AX1016" s="85"/>
      <c r="AY1016" s="39"/>
      <c r="AZ1016" s="7">
        <v>362.3</v>
      </c>
      <c r="BA1016" s="62"/>
      <c r="BB1016" s="7"/>
      <c r="BC1016" s="7"/>
      <c r="BD1016" s="7"/>
      <c r="BE1016" s="7"/>
      <c r="BF1016" s="39"/>
      <c r="BG1016" s="7"/>
      <c r="BH1016" s="62"/>
      <c r="BI1016" s="7"/>
      <c r="BJ1016" s="32"/>
      <c r="BK1016" s="262"/>
    </row>
    <row r="1017" spans="1:63" ht="23.25" customHeight="1" x14ac:dyDescent="0.2">
      <c r="A1017" s="7">
        <v>1016</v>
      </c>
      <c r="B1017" s="219"/>
      <c r="C1017" s="219"/>
      <c r="D1017" s="223" t="s">
        <v>1369</v>
      </c>
      <c r="E1017" s="54" t="s">
        <v>1683</v>
      </c>
      <c r="F1017" s="16">
        <f>10.69*100/14</f>
        <v>76.357142857142861</v>
      </c>
      <c r="G1017" s="8">
        <f t="shared" si="110"/>
        <v>10.714285714285714</v>
      </c>
      <c r="H1017" s="8">
        <v>0</v>
      </c>
      <c r="I1017" s="8">
        <v>0</v>
      </c>
      <c r="J1017" s="8">
        <f>0.81*100/14</f>
        <v>5.7857142857142856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17">
        <v>0</v>
      </c>
      <c r="T1017" s="8">
        <f t="shared" si="111"/>
        <v>7.1428571428571432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14">
        <f t="shared" si="106"/>
        <v>100</v>
      </c>
      <c r="AE1017" s="8">
        <v>0</v>
      </c>
      <c r="AF1017" s="8">
        <v>0</v>
      </c>
      <c r="AG1017" s="8">
        <v>0</v>
      </c>
      <c r="AH1017" s="8">
        <v>0</v>
      </c>
      <c r="AI1017" s="39" t="s">
        <v>1528</v>
      </c>
      <c r="AJ1017" s="7"/>
      <c r="AK1017" s="62"/>
      <c r="AL1017" s="158"/>
      <c r="AM1017" s="85"/>
      <c r="AN1017" s="85"/>
      <c r="AO1017" s="85"/>
      <c r="AP1017" s="85"/>
      <c r="AQ1017" s="85"/>
      <c r="AR1017" s="85"/>
      <c r="AS1017" s="85"/>
      <c r="AT1017" s="205"/>
      <c r="AU1017" s="85"/>
      <c r="AV1017" s="196"/>
      <c r="AW1017" s="85"/>
      <c r="AX1017" s="85"/>
      <c r="AY1017" s="39"/>
      <c r="AZ1017" s="7">
        <v>291.8</v>
      </c>
      <c r="BA1017" s="62"/>
      <c r="BB1017" s="7"/>
      <c r="BC1017" s="7"/>
      <c r="BD1017" s="7"/>
      <c r="BE1017" s="7"/>
      <c r="BF1017" s="39"/>
      <c r="BG1017" s="7"/>
      <c r="BH1017" s="62"/>
      <c r="BI1017" s="7"/>
      <c r="BJ1017" s="32"/>
      <c r="BK1017" s="262"/>
    </row>
    <row r="1018" spans="1:63" ht="23.25" customHeight="1" x14ac:dyDescent="0.2">
      <c r="A1018" s="62">
        <v>1017</v>
      </c>
      <c r="B1018" s="219"/>
      <c r="C1018" s="219"/>
      <c r="D1018" s="223"/>
      <c r="E1018" s="54" t="s">
        <v>1693</v>
      </c>
      <c r="F1018" s="16">
        <f>10.69*100/14</f>
        <v>76.357142857142861</v>
      </c>
      <c r="G1018" s="8">
        <f t="shared" si="110"/>
        <v>10.714285714285714</v>
      </c>
      <c r="H1018" s="8">
        <v>0</v>
      </c>
      <c r="I1018" s="8">
        <v>0</v>
      </c>
      <c r="J1018" s="8">
        <f>0.81*100/14</f>
        <v>5.7857142857142856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17">
        <v>0</v>
      </c>
      <c r="T1018" s="8">
        <f t="shared" si="111"/>
        <v>7.1428571428571432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14">
        <f t="shared" si="106"/>
        <v>100</v>
      </c>
      <c r="AE1018" s="8">
        <f>0.7*100/14</f>
        <v>5</v>
      </c>
      <c r="AF1018" s="8">
        <v>0</v>
      </c>
      <c r="AG1018" s="8">
        <v>0</v>
      </c>
      <c r="AH1018" s="8">
        <v>0</v>
      </c>
      <c r="AI1018" s="39" t="s">
        <v>1528</v>
      </c>
      <c r="AJ1018" s="7"/>
      <c r="AK1018" s="62"/>
      <c r="AL1018" s="158"/>
      <c r="AM1018" s="85"/>
      <c r="AN1018" s="85"/>
      <c r="AO1018" s="85"/>
      <c r="AP1018" s="85"/>
      <c r="AQ1018" s="85"/>
      <c r="AR1018" s="85"/>
      <c r="AS1018" s="85"/>
      <c r="AT1018" s="205"/>
      <c r="AU1018" s="85"/>
      <c r="AV1018" s="196"/>
      <c r="AW1018" s="85"/>
      <c r="AX1018" s="85"/>
      <c r="AY1018" s="39"/>
      <c r="AZ1018" s="7">
        <v>338</v>
      </c>
      <c r="BA1018" s="62"/>
      <c r="BB1018" s="7"/>
      <c r="BC1018" s="7"/>
      <c r="BD1018" s="7"/>
      <c r="BE1018" s="7"/>
      <c r="BF1018" s="39"/>
      <c r="BG1018" s="7"/>
      <c r="BH1018" s="62"/>
      <c r="BI1018" s="7"/>
      <c r="BJ1018" s="32"/>
      <c r="BK1018" s="262"/>
    </row>
    <row r="1019" spans="1:63" ht="23.25" customHeight="1" x14ac:dyDescent="0.2">
      <c r="A1019" s="7">
        <v>1018</v>
      </c>
      <c r="B1019" s="219"/>
      <c r="C1019" s="219"/>
      <c r="D1019" s="223"/>
      <c r="E1019" s="54" t="s">
        <v>1694</v>
      </c>
      <c r="F1019" s="16">
        <f t="shared" ref="F1019:F1020" si="112">10.69*100/14</f>
        <v>76.357142857142861</v>
      </c>
      <c r="G1019" s="8">
        <f t="shared" ref="G1019:G1020" si="113">1.5*100/14</f>
        <v>10.714285714285714</v>
      </c>
      <c r="H1019" s="8">
        <v>0</v>
      </c>
      <c r="I1019" s="8">
        <v>0</v>
      </c>
      <c r="J1019" s="8">
        <f t="shared" ref="J1019:J1020" si="114">0.81*100/14</f>
        <v>5.7857142857142856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17">
        <v>0</v>
      </c>
      <c r="T1019" s="8">
        <f t="shared" ref="T1019:T1020" si="115">1*100/14</f>
        <v>7.1428571428571432</v>
      </c>
      <c r="U1019" s="8">
        <v>0</v>
      </c>
      <c r="V1019" s="8">
        <v>0</v>
      </c>
      <c r="W1019" s="8">
        <v>0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14">
        <f t="shared" si="106"/>
        <v>100</v>
      </c>
      <c r="AE1019" s="8">
        <f>1.1*100/14</f>
        <v>7.8571428571428585</v>
      </c>
      <c r="AF1019" s="8">
        <v>0</v>
      </c>
      <c r="AG1019" s="8">
        <v>0</v>
      </c>
      <c r="AH1019" s="8">
        <v>0</v>
      </c>
      <c r="AI1019" s="39" t="s">
        <v>1528</v>
      </c>
      <c r="AJ1019" s="7"/>
      <c r="AK1019" s="62"/>
      <c r="AL1019" s="158"/>
      <c r="AM1019" s="85"/>
      <c r="AN1019" s="85"/>
      <c r="AO1019" s="85"/>
      <c r="AP1019" s="85"/>
      <c r="AQ1019" s="85"/>
      <c r="AR1019" s="85"/>
      <c r="AS1019" s="85"/>
      <c r="AT1019" s="205"/>
      <c r="AU1019" s="85"/>
      <c r="AV1019" s="196"/>
      <c r="AW1019" s="85"/>
      <c r="AX1019" s="85"/>
      <c r="AY1019" s="39"/>
      <c r="AZ1019" s="7">
        <v>369.4</v>
      </c>
      <c r="BA1019" s="62"/>
      <c r="BB1019" s="7"/>
      <c r="BC1019" s="7"/>
      <c r="BD1019" s="7"/>
      <c r="BE1019" s="7"/>
      <c r="BF1019" s="39"/>
      <c r="BG1019" s="7"/>
      <c r="BH1019" s="62"/>
      <c r="BI1019" s="7"/>
      <c r="BJ1019" s="32"/>
      <c r="BK1019" s="262"/>
    </row>
    <row r="1020" spans="1:63" ht="23.25" customHeight="1" x14ac:dyDescent="0.2">
      <c r="A1020" s="62">
        <v>1019</v>
      </c>
      <c r="B1020" s="219"/>
      <c r="C1020" s="219"/>
      <c r="D1020" s="223"/>
      <c r="E1020" s="54" t="s">
        <v>1695</v>
      </c>
      <c r="F1020" s="16">
        <f t="shared" si="112"/>
        <v>76.357142857142861</v>
      </c>
      <c r="G1020" s="8">
        <f t="shared" si="113"/>
        <v>10.714285714285714</v>
      </c>
      <c r="H1020" s="8">
        <v>0</v>
      </c>
      <c r="I1020" s="8">
        <v>0</v>
      </c>
      <c r="J1020" s="8">
        <f t="shared" si="114"/>
        <v>5.7857142857142856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17">
        <v>0</v>
      </c>
      <c r="T1020" s="8">
        <f t="shared" si="115"/>
        <v>7.1428571428571432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14">
        <f t="shared" si="106"/>
        <v>100</v>
      </c>
      <c r="AE1020" s="8">
        <f>1.3*100/14</f>
        <v>9.2857142857142865</v>
      </c>
      <c r="AF1020" s="8">
        <v>0</v>
      </c>
      <c r="AG1020" s="8">
        <v>0</v>
      </c>
      <c r="AH1020" s="8">
        <v>0</v>
      </c>
      <c r="AI1020" s="39" t="s">
        <v>1528</v>
      </c>
      <c r="AJ1020" s="7"/>
      <c r="AK1020" s="62"/>
      <c r="AL1020" s="158"/>
      <c r="AM1020" s="85"/>
      <c r="AN1020" s="85"/>
      <c r="AO1020" s="85"/>
      <c r="AP1020" s="85"/>
      <c r="AQ1020" s="85"/>
      <c r="AR1020" s="85"/>
      <c r="AS1020" s="85"/>
      <c r="AT1020" s="205"/>
      <c r="AU1020" s="85"/>
      <c r="AV1020" s="196"/>
      <c r="AW1020" s="85"/>
      <c r="AX1020" s="85"/>
      <c r="AY1020" s="39"/>
      <c r="AZ1020" s="7">
        <v>385.6</v>
      </c>
      <c r="BA1020" s="62"/>
      <c r="BB1020" s="7"/>
      <c r="BC1020" s="7"/>
      <c r="BD1020" s="7"/>
      <c r="BE1020" s="7"/>
      <c r="BF1020" s="39"/>
      <c r="BG1020" s="7"/>
      <c r="BH1020" s="62"/>
      <c r="BI1020" s="7"/>
      <c r="BJ1020" s="32"/>
      <c r="BK1020" s="262"/>
    </row>
    <row r="1021" spans="1:63" ht="23.25" customHeight="1" x14ac:dyDescent="0.2">
      <c r="A1021" s="7">
        <v>1020</v>
      </c>
      <c r="B1021" s="219"/>
      <c r="C1021" s="219"/>
      <c r="D1021" s="223" t="s">
        <v>1370</v>
      </c>
      <c r="E1021" s="54" t="s">
        <v>1683</v>
      </c>
      <c r="F1021" s="16">
        <f>10.5*100/14</f>
        <v>75</v>
      </c>
      <c r="G1021" s="8">
        <f>1.5*100/14</f>
        <v>10.714285714285714</v>
      </c>
      <c r="H1021" s="8">
        <v>0</v>
      </c>
      <c r="I1021" s="8">
        <v>0</v>
      </c>
      <c r="J1021" s="8">
        <f>1*100/14</f>
        <v>7.1428571428571432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17">
        <v>0</v>
      </c>
      <c r="T1021" s="8">
        <f>1*100/14</f>
        <v>7.1428571428571432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14">
        <f t="shared" si="106"/>
        <v>99.999999999999986</v>
      </c>
      <c r="AE1021" s="8">
        <v>0</v>
      </c>
      <c r="AF1021" s="8">
        <v>0</v>
      </c>
      <c r="AG1021" s="8">
        <v>0</v>
      </c>
      <c r="AH1021" s="8">
        <v>0</v>
      </c>
      <c r="AI1021" s="39" t="s">
        <v>1528</v>
      </c>
      <c r="AJ1021" s="7"/>
      <c r="AK1021" s="62"/>
      <c r="AL1021" s="158"/>
      <c r="AM1021" s="85"/>
      <c r="AN1021" s="85"/>
      <c r="AO1021" s="85"/>
      <c r="AP1021" s="85"/>
      <c r="AQ1021" s="85"/>
      <c r="AR1021" s="85"/>
      <c r="AS1021" s="85"/>
      <c r="AT1021" s="205"/>
      <c r="AU1021" s="85"/>
      <c r="AV1021" s="196"/>
      <c r="AW1021" s="85"/>
      <c r="AX1021" s="85"/>
      <c r="AY1021" s="39"/>
      <c r="AZ1021" s="7">
        <v>315.89999999999998</v>
      </c>
      <c r="BA1021" s="62"/>
      <c r="BB1021" s="7"/>
      <c r="BC1021" s="7"/>
      <c r="BD1021" s="7"/>
      <c r="BE1021" s="7"/>
      <c r="BF1021" s="39"/>
      <c r="BG1021" s="7"/>
      <c r="BH1021" s="62"/>
      <c r="BI1021" s="7"/>
      <c r="BJ1021" s="32"/>
      <c r="BK1021" s="262"/>
    </row>
    <row r="1022" spans="1:63" ht="23.25" customHeight="1" x14ac:dyDescent="0.2">
      <c r="A1022" s="62">
        <v>1021</v>
      </c>
      <c r="B1022" s="219"/>
      <c r="C1022" s="219"/>
      <c r="D1022" s="223"/>
      <c r="E1022" s="54" t="s">
        <v>1691</v>
      </c>
      <c r="F1022" s="16">
        <f>10.5*100/14</f>
        <v>75</v>
      </c>
      <c r="G1022" s="8">
        <f>1.5*100/14</f>
        <v>10.714285714285714</v>
      </c>
      <c r="H1022" s="8">
        <v>0</v>
      </c>
      <c r="I1022" s="8">
        <v>0</v>
      </c>
      <c r="J1022" s="8">
        <f>1*100/14</f>
        <v>7.1428571428571432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17">
        <v>0</v>
      </c>
      <c r="T1022" s="8">
        <f>1*100/14</f>
        <v>7.1428571428571432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14">
        <f t="shared" si="106"/>
        <v>99.999999999999986</v>
      </c>
      <c r="AE1022" s="8">
        <f>1.2*100/14</f>
        <v>8.5714285714285712</v>
      </c>
      <c r="AF1022" s="8">
        <v>0</v>
      </c>
      <c r="AG1022" s="8">
        <v>0</v>
      </c>
      <c r="AH1022" s="8">
        <v>0</v>
      </c>
      <c r="AI1022" s="39" t="s">
        <v>1528</v>
      </c>
      <c r="AJ1022" s="7"/>
      <c r="AK1022" s="62"/>
      <c r="AL1022" s="158"/>
      <c r="AM1022" s="85"/>
      <c r="AN1022" s="85"/>
      <c r="AO1022" s="85"/>
      <c r="AP1022" s="85"/>
      <c r="AQ1022" s="85"/>
      <c r="AR1022" s="85"/>
      <c r="AS1022" s="85"/>
      <c r="AT1022" s="205"/>
      <c r="AU1022" s="85"/>
      <c r="AV1022" s="196"/>
      <c r="AW1022" s="85"/>
      <c r="AX1022" s="85"/>
      <c r="AY1022" s="39"/>
      <c r="AZ1022" s="7">
        <v>390.3</v>
      </c>
      <c r="BA1022" s="62"/>
      <c r="BB1022" s="7"/>
      <c r="BC1022" s="7"/>
      <c r="BD1022" s="7"/>
      <c r="BE1022" s="7"/>
      <c r="BF1022" s="39"/>
      <c r="BG1022" s="7"/>
      <c r="BH1022" s="62"/>
      <c r="BI1022" s="7"/>
      <c r="BJ1022" s="32"/>
      <c r="BK1022" s="262"/>
    </row>
    <row r="1023" spans="1:63" ht="23.25" customHeight="1" thickBot="1" x14ac:dyDescent="0.25">
      <c r="A1023" s="7">
        <v>1022</v>
      </c>
      <c r="B1023" s="219"/>
      <c r="C1023" s="219"/>
      <c r="D1023" s="223"/>
      <c r="E1023" s="54" t="s">
        <v>1689</v>
      </c>
      <c r="F1023" s="16">
        <f>10.5*100/14</f>
        <v>75</v>
      </c>
      <c r="G1023" s="8">
        <f>1.5*100/14</f>
        <v>10.714285714285714</v>
      </c>
      <c r="H1023" s="8">
        <v>0</v>
      </c>
      <c r="I1023" s="8">
        <v>0</v>
      </c>
      <c r="J1023" s="8">
        <f>1*100/14</f>
        <v>7.1428571428571432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17">
        <v>0</v>
      </c>
      <c r="T1023" s="8">
        <f>1*100/14</f>
        <v>7.1428571428571432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14">
        <f t="shared" si="106"/>
        <v>99.999999999999986</v>
      </c>
      <c r="AE1023" s="8">
        <f>1.4*100/14</f>
        <v>10</v>
      </c>
      <c r="AF1023" s="8">
        <v>0</v>
      </c>
      <c r="AG1023" s="8">
        <v>0</v>
      </c>
      <c r="AH1023" s="8">
        <v>0</v>
      </c>
      <c r="AI1023" s="39" t="s">
        <v>1528</v>
      </c>
      <c r="AJ1023" s="7"/>
      <c r="AK1023" s="62"/>
      <c r="AL1023" s="158"/>
      <c r="AM1023" s="85"/>
      <c r="AN1023" s="85"/>
      <c r="AO1023" s="85"/>
      <c r="AP1023" s="85"/>
      <c r="AQ1023" s="85"/>
      <c r="AR1023" s="85"/>
      <c r="AS1023" s="85"/>
      <c r="AT1023" s="205"/>
      <c r="AU1023" s="85"/>
      <c r="AV1023" s="196"/>
      <c r="AW1023" s="85"/>
      <c r="AX1023" s="85"/>
      <c r="AY1023" s="39"/>
      <c r="AZ1023" s="7">
        <v>400.4</v>
      </c>
      <c r="BA1023" s="62"/>
      <c r="BB1023" s="7">
        <v>1</v>
      </c>
      <c r="BC1023" s="7">
        <v>2.23</v>
      </c>
      <c r="BD1023" s="7">
        <v>408.8</v>
      </c>
      <c r="BE1023" s="7">
        <v>31.96</v>
      </c>
      <c r="BF1023" s="39"/>
      <c r="BG1023" s="7"/>
      <c r="BH1023" s="62"/>
      <c r="BI1023" s="7"/>
      <c r="BJ1023" s="32"/>
      <c r="BK1023" s="263"/>
    </row>
    <row r="1024" spans="1:63" ht="23.25" customHeight="1" x14ac:dyDescent="0.2">
      <c r="A1024" s="62">
        <v>1023</v>
      </c>
      <c r="B1024" s="219"/>
      <c r="C1024" s="219"/>
      <c r="D1024" s="223" t="s">
        <v>1372</v>
      </c>
      <c r="E1024" s="54" t="s">
        <v>1683</v>
      </c>
      <c r="F1024" s="16">
        <f>11.4*100/14</f>
        <v>81.428571428571431</v>
      </c>
      <c r="G1024" s="8">
        <f>1.6*100/14</f>
        <v>11.428571428571429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17">
        <v>0</v>
      </c>
      <c r="T1024" s="8">
        <f>1*100/14</f>
        <v>7.1428571428571432</v>
      </c>
      <c r="U1024" s="8">
        <v>0</v>
      </c>
      <c r="V1024" s="8">
        <v>0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14">
        <f t="shared" si="106"/>
        <v>100</v>
      </c>
      <c r="AE1024" s="8">
        <v>0</v>
      </c>
      <c r="AF1024" s="8">
        <v>0</v>
      </c>
      <c r="AG1024" s="8">
        <v>0</v>
      </c>
      <c r="AH1024" s="8">
        <v>0</v>
      </c>
      <c r="AI1024" s="39" t="s">
        <v>1528</v>
      </c>
      <c r="AJ1024" s="7"/>
      <c r="AK1024" s="62"/>
      <c r="AL1024" s="158"/>
      <c r="AM1024" s="85"/>
      <c r="AN1024" s="85"/>
      <c r="AO1024" s="85"/>
      <c r="AP1024" s="85"/>
      <c r="AQ1024" s="85"/>
      <c r="AR1024" s="85"/>
      <c r="AS1024" s="85"/>
      <c r="AT1024" s="205"/>
      <c r="AU1024" s="85"/>
      <c r="AV1024" s="196"/>
      <c r="AW1024" s="85"/>
      <c r="AX1024" s="85"/>
      <c r="AY1024" s="39"/>
      <c r="AZ1024" s="7"/>
      <c r="BA1024" s="62"/>
      <c r="BB1024" s="7">
        <v>2</v>
      </c>
      <c r="BC1024" s="7">
        <v>22.95</v>
      </c>
      <c r="BD1024" s="7">
        <v>219.6</v>
      </c>
      <c r="BE1024" s="7">
        <v>13.76</v>
      </c>
      <c r="BF1024" s="39"/>
      <c r="BG1024" s="7"/>
      <c r="BH1024" s="62"/>
      <c r="BI1024" s="7"/>
      <c r="BJ1024" s="32"/>
      <c r="BK1024" s="264" t="s">
        <v>1851</v>
      </c>
    </row>
    <row r="1025" spans="1:63" ht="23.25" customHeight="1" x14ac:dyDescent="0.2">
      <c r="A1025" s="7">
        <v>1024</v>
      </c>
      <c r="B1025" s="219"/>
      <c r="C1025" s="219"/>
      <c r="D1025" s="223"/>
      <c r="E1025" s="54" t="s">
        <v>1684</v>
      </c>
      <c r="F1025" s="16">
        <f t="shared" ref="F1025:F1027" si="116">11.4*100/14</f>
        <v>81.428571428571431</v>
      </c>
      <c r="G1025" s="8">
        <f t="shared" ref="G1025:G1027" si="117">1.6*100/14</f>
        <v>11.428571428571429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17">
        <v>0</v>
      </c>
      <c r="T1025" s="8">
        <f t="shared" ref="T1025:T1030" si="118">1*100/14</f>
        <v>7.1428571428571432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14">
        <f t="shared" ref="AD1025:AD1062" si="119">SUM(F1025:AC1025)</f>
        <v>100</v>
      </c>
      <c r="AE1025" s="8">
        <f>0.21*100/14</f>
        <v>1.5</v>
      </c>
      <c r="AF1025" s="8">
        <v>0</v>
      </c>
      <c r="AG1025" s="8">
        <v>0</v>
      </c>
      <c r="AH1025" s="8">
        <v>0</v>
      </c>
      <c r="AI1025" s="39" t="s">
        <v>1528</v>
      </c>
      <c r="AJ1025" s="7"/>
      <c r="AK1025" s="62"/>
      <c r="AL1025" s="158"/>
      <c r="AM1025" s="85"/>
      <c r="AN1025" s="85"/>
      <c r="AO1025" s="85"/>
      <c r="AP1025" s="85"/>
      <c r="AQ1025" s="85"/>
      <c r="AR1025" s="85"/>
      <c r="AS1025" s="85"/>
      <c r="AT1025" s="205"/>
      <c r="AU1025" s="85"/>
      <c r="AV1025" s="196"/>
      <c r="AW1025" s="85"/>
      <c r="AX1025" s="85"/>
      <c r="AY1025" s="39"/>
      <c r="AZ1025" s="7"/>
      <c r="BA1025" s="62"/>
      <c r="BB1025" s="7">
        <v>2</v>
      </c>
      <c r="BC1025" s="7">
        <v>15.1</v>
      </c>
      <c r="BD1025" s="7">
        <v>248.9</v>
      </c>
      <c r="BE1025" s="7">
        <v>24.77</v>
      </c>
      <c r="BF1025" s="39"/>
      <c r="BG1025" s="7"/>
      <c r="BH1025" s="62"/>
      <c r="BI1025" s="7"/>
      <c r="BJ1025" s="32"/>
      <c r="BK1025" s="265"/>
    </row>
    <row r="1026" spans="1:63" ht="23.25" customHeight="1" x14ac:dyDescent="0.2">
      <c r="A1026" s="62">
        <v>1025</v>
      </c>
      <c r="B1026" s="219"/>
      <c r="C1026" s="219"/>
      <c r="D1026" s="223"/>
      <c r="E1026" s="54" t="s">
        <v>1685</v>
      </c>
      <c r="F1026" s="16">
        <f t="shared" si="116"/>
        <v>81.428571428571431</v>
      </c>
      <c r="G1026" s="8">
        <f t="shared" si="117"/>
        <v>11.428571428571429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17">
        <v>0</v>
      </c>
      <c r="T1026" s="8">
        <f t="shared" si="118"/>
        <v>7.1428571428571432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14">
        <f t="shared" si="119"/>
        <v>100</v>
      </c>
      <c r="AE1026" s="8">
        <f>0.41*100/14</f>
        <v>2.9285714285714284</v>
      </c>
      <c r="AF1026" s="8">
        <v>0</v>
      </c>
      <c r="AG1026" s="8">
        <v>0</v>
      </c>
      <c r="AH1026" s="8">
        <v>0</v>
      </c>
      <c r="AI1026" s="39" t="s">
        <v>1528</v>
      </c>
      <c r="AJ1026" s="7"/>
      <c r="AK1026" s="62"/>
      <c r="AL1026" s="158"/>
      <c r="AM1026" s="85"/>
      <c r="AN1026" s="85"/>
      <c r="AO1026" s="85"/>
      <c r="AP1026" s="85"/>
      <c r="AQ1026" s="85"/>
      <c r="AR1026" s="85"/>
      <c r="AS1026" s="85"/>
      <c r="AT1026" s="205"/>
      <c r="AU1026" s="85"/>
      <c r="AV1026" s="196"/>
      <c r="AW1026" s="85"/>
      <c r="AX1026" s="85"/>
      <c r="AY1026" s="39"/>
      <c r="AZ1026" s="7"/>
      <c r="BA1026" s="62"/>
      <c r="BB1026" s="7">
        <v>2</v>
      </c>
      <c r="BC1026" s="7">
        <v>15</v>
      </c>
      <c r="BD1026" s="7">
        <v>282</v>
      </c>
      <c r="BE1026" s="7">
        <v>23.4</v>
      </c>
      <c r="BF1026" s="39"/>
      <c r="BG1026" s="7"/>
      <c r="BH1026" s="62"/>
      <c r="BI1026" s="7"/>
      <c r="BJ1026" s="32"/>
      <c r="BK1026" s="265"/>
    </row>
    <row r="1027" spans="1:63" ht="23.25" customHeight="1" x14ac:dyDescent="0.2">
      <c r="A1027" s="7">
        <v>1026</v>
      </c>
      <c r="B1027" s="219"/>
      <c r="C1027" s="219"/>
      <c r="D1027" s="223"/>
      <c r="E1027" s="54" t="s">
        <v>1686</v>
      </c>
      <c r="F1027" s="16">
        <f t="shared" si="116"/>
        <v>81.428571428571431</v>
      </c>
      <c r="G1027" s="8">
        <f t="shared" si="117"/>
        <v>11.428571428571429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17">
        <v>0</v>
      </c>
      <c r="T1027" s="8">
        <f t="shared" si="118"/>
        <v>7.1428571428571432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14">
        <f t="shared" si="119"/>
        <v>100</v>
      </c>
      <c r="AE1027" s="8">
        <f>0.86*100/14</f>
        <v>6.1428571428571432</v>
      </c>
      <c r="AF1027" s="8">
        <v>0</v>
      </c>
      <c r="AG1027" s="8">
        <v>0</v>
      </c>
      <c r="AH1027" s="8">
        <v>0</v>
      </c>
      <c r="AI1027" s="39" t="s">
        <v>1528</v>
      </c>
      <c r="AJ1027" s="7"/>
      <c r="AK1027" s="62"/>
      <c r="AL1027" s="158"/>
      <c r="AM1027" s="85"/>
      <c r="AN1027" s="85"/>
      <c r="AO1027" s="85"/>
      <c r="AP1027" s="85"/>
      <c r="AQ1027" s="85"/>
      <c r="AR1027" s="85"/>
      <c r="AS1027" s="85"/>
      <c r="AT1027" s="205"/>
      <c r="AU1027" s="85"/>
      <c r="AV1027" s="196"/>
      <c r="AW1027" s="85"/>
      <c r="AX1027" s="85"/>
      <c r="AY1027" s="39"/>
      <c r="AZ1027" s="7"/>
      <c r="BA1027" s="62"/>
      <c r="BB1027" s="7">
        <v>2</v>
      </c>
      <c r="BC1027" s="7">
        <v>16.46</v>
      </c>
      <c r="BD1027" s="7">
        <v>299.3</v>
      </c>
      <c r="BE1027" s="7">
        <v>19.66</v>
      </c>
      <c r="BF1027" s="39"/>
      <c r="BG1027" s="7"/>
      <c r="BH1027" s="62"/>
      <c r="BI1027" s="7"/>
      <c r="BJ1027" s="32"/>
      <c r="BK1027" s="265"/>
    </row>
    <row r="1028" spans="1:63" ht="23.25" customHeight="1" x14ac:dyDescent="0.2">
      <c r="A1028" s="62">
        <v>1027</v>
      </c>
      <c r="B1028" s="219"/>
      <c r="C1028" s="219"/>
      <c r="D1028" s="54" t="s">
        <v>1373</v>
      </c>
      <c r="E1028" s="54"/>
      <c r="F1028" s="16">
        <f>11.5*100/14</f>
        <v>82.142857142857139</v>
      </c>
      <c r="G1028" s="8">
        <f>1.5*100/14</f>
        <v>10.714285714285714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17">
        <v>0</v>
      </c>
      <c r="T1028" s="8">
        <f t="shared" si="118"/>
        <v>7.1428571428571432</v>
      </c>
      <c r="U1028" s="8">
        <v>0</v>
      </c>
      <c r="V1028" s="8">
        <v>0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14">
        <f t="shared" si="119"/>
        <v>99.999999999999986</v>
      </c>
      <c r="AE1028" s="8">
        <f>1.4*100/14</f>
        <v>10</v>
      </c>
      <c r="AF1028" s="8">
        <v>0</v>
      </c>
      <c r="AG1028" s="8">
        <v>0</v>
      </c>
      <c r="AH1028" s="8">
        <v>0</v>
      </c>
      <c r="AI1028" s="39" t="s">
        <v>1528</v>
      </c>
      <c r="AJ1028" s="7"/>
      <c r="AK1028" s="62"/>
      <c r="AL1028" s="158"/>
      <c r="AM1028" s="85"/>
      <c r="AN1028" s="85"/>
      <c r="AO1028" s="85"/>
      <c r="AP1028" s="85"/>
      <c r="AQ1028" s="85"/>
      <c r="AR1028" s="85"/>
      <c r="AS1028" s="85"/>
      <c r="AT1028" s="205"/>
      <c r="AU1028" s="85"/>
      <c r="AV1028" s="196"/>
      <c r="AW1028" s="85"/>
      <c r="AX1028" s="85"/>
      <c r="AY1028" s="39"/>
      <c r="AZ1028" s="7"/>
      <c r="BA1028" s="62"/>
      <c r="BB1028" s="7">
        <v>1</v>
      </c>
      <c r="BC1028" s="7">
        <v>3.78</v>
      </c>
      <c r="BD1028" s="7">
        <v>345.1</v>
      </c>
      <c r="BE1028" s="7">
        <v>14.25</v>
      </c>
      <c r="BF1028" s="39"/>
      <c r="BG1028" s="7"/>
      <c r="BH1028" s="62"/>
      <c r="BI1028" s="7"/>
      <c r="BJ1028" s="32"/>
      <c r="BK1028" s="265"/>
    </row>
    <row r="1029" spans="1:63" ht="23.25" customHeight="1" x14ac:dyDescent="0.2">
      <c r="A1029" s="7">
        <v>1028</v>
      </c>
      <c r="B1029" s="219"/>
      <c r="C1029" s="219"/>
      <c r="D1029" s="54" t="s">
        <v>1376</v>
      </c>
      <c r="E1029" s="54"/>
      <c r="F1029" s="16">
        <f>11.2*100/14</f>
        <v>80</v>
      </c>
      <c r="G1029" s="8">
        <f t="shared" ref="G1029:G1030" si="120">1.5*100/14</f>
        <v>10.714285714285714</v>
      </c>
      <c r="H1029" s="8">
        <v>0</v>
      </c>
      <c r="I1029" s="8">
        <v>0</v>
      </c>
      <c r="J1029" s="8">
        <f>0.3*100/14</f>
        <v>2.1428571428571428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17">
        <v>0</v>
      </c>
      <c r="T1029" s="8">
        <f t="shared" si="118"/>
        <v>7.1428571428571432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14">
        <f t="shared" si="119"/>
        <v>99.999999999999986</v>
      </c>
      <c r="AE1029" s="8">
        <f>1.6*100/14</f>
        <v>11.428571428571429</v>
      </c>
      <c r="AF1029" s="8">
        <v>0</v>
      </c>
      <c r="AG1029" s="8">
        <v>0</v>
      </c>
      <c r="AH1029" s="8">
        <v>0</v>
      </c>
      <c r="AI1029" s="39" t="s">
        <v>1528</v>
      </c>
      <c r="AJ1029" s="7"/>
      <c r="AK1029" s="62"/>
      <c r="AL1029" s="158"/>
      <c r="AM1029" s="85"/>
      <c r="AN1029" s="85"/>
      <c r="AO1029" s="85"/>
      <c r="AP1029" s="85"/>
      <c r="AQ1029" s="85"/>
      <c r="AR1029" s="85"/>
      <c r="AS1029" s="85"/>
      <c r="AT1029" s="205"/>
      <c r="AU1029" s="85"/>
      <c r="AV1029" s="196"/>
      <c r="AW1029" s="85"/>
      <c r="AX1029" s="85"/>
      <c r="AY1029" s="39"/>
      <c r="AZ1029" s="7"/>
      <c r="BA1029" s="62"/>
      <c r="BB1029" s="7">
        <v>1</v>
      </c>
      <c r="BC1029" s="7">
        <v>2.85</v>
      </c>
      <c r="BD1029" s="7">
        <v>364.9</v>
      </c>
      <c r="BE1029" s="7">
        <v>22.16</v>
      </c>
      <c r="BF1029" s="39"/>
      <c r="BG1029" s="7"/>
      <c r="BH1029" s="62"/>
      <c r="BI1029" s="7"/>
      <c r="BJ1029" s="32"/>
      <c r="BK1029" s="265"/>
    </row>
    <row r="1030" spans="1:63" ht="23.25" customHeight="1" x14ac:dyDescent="0.2">
      <c r="A1030" s="62">
        <v>1029</v>
      </c>
      <c r="B1030" s="219"/>
      <c r="C1030" s="219"/>
      <c r="D1030" s="54" t="s">
        <v>1375</v>
      </c>
      <c r="E1030" s="54"/>
      <c r="F1030" s="16">
        <f>10.9*100/14</f>
        <v>77.857142857142861</v>
      </c>
      <c r="G1030" s="8">
        <f t="shared" si="120"/>
        <v>10.714285714285714</v>
      </c>
      <c r="H1030" s="8">
        <v>0</v>
      </c>
      <c r="I1030" s="8">
        <v>0</v>
      </c>
      <c r="J1030" s="8">
        <f>0.6*100/14</f>
        <v>4.2857142857142856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17">
        <v>0</v>
      </c>
      <c r="T1030" s="8">
        <f t="shared" si="118"/>
        <v>7.1428571428571432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14">
        <f t="shared" si="119"/>
        <v>100</v>
      </c>
      <c r="AE1030" s="8">
        <f>1.7*100/14</f>
        <v>12.142857142857142</v>
      </c>
      <c r="AF1030" s="8">
        <v>0</v>
      </c>
      <c r="AG1030" s="8">
        <v>0</v>
      </c>
      <c r="AH1030" s="8">
        <v>0</v>
      </c>
      <c r="AI1030" s="39" t="s">
        <v>1528</v>
      </c>
      <c r="AJ1030" s="7"/>
      <c r="AK1030" s="62"/>
      <c r="AL1030" s="158"/>
      <c r="AM1030" s="85"/>
      <c r="AN1030" s="85"/>
      <c r="AO1030" s="85"/>
      <c r="AP1030" s="85"/>
      <c r="AQ1030" s="85"/>
      <c r="AR1030" s="85"/>
      <c r="AS1030" s="85"/>
      <c r="AT1030" s="205"/>
      <c r="AU1030" s="85"/>
      <c r="AV1030" s="196"/>
      <c r="AW1030" s="85"/>
      <c r="AX1030" s="85"/>
      <c r="AY1030" s="39"/>
      <c r="AZ1030" s="7"/>
      <c r="BA1030" s="62"/>
      <c r="BB1030" s="7">
        <v>1</v>
      </c>
      <c r="BC1030" s="7">
        <v>3.27</v>
      </c>
      <c r="BD1030" s="7">
        <v>375.3</v>
      </c>
      <c r="BE1030" s="7">
        <v>17.45</v>
      </c>
      <c r="BF1030" s="39"/>
      <c r="BG1030" s="7"/>
      <c r="BH1030" s="62"/>
      <c r="BI1030" s="7"/>
      <c r="BJ1030" s="32"/>
      <c r="BK1030" s="265"/>
    </row>
    <row r="1031" spans="1:63" s="6" customFormat="1" ht="23.25" customHeight="1" thickBot="1" x14ac:dyDescent="0.25">
      <c r="A1031" s="7">
        <v>1030</v>
      </c>
      <c r="B1031" s="220"/>
      <c r="C1031" s="220"/>
      <c r="D1031" s="13" t="s">
        <v>1374</v>
      </c>
      <c r="E1031" s="13"/>
      <c r="F1031" s="80">
        <f>10.7*100/14</f>
        <v>76.428571428571431</v>
      </c>
      <c r="G1031" s="81">
        <f>1.5*100/14</f>
        <v>10.714285714285714</v>
      </c>
      <c r="H1031" s="81">
        <v>0</v>
      </c>
      <c r="I1031" s="81">
        <v>0</v>
      </c>
      <c r="J1031" s="81">
        <f>0.8*100/14</f>
        <v>5.7142857142857144</v>
      </c>
      <c r="K1031" s="81">
        <v>0</v>
      </c>
      <c r="L1031" s="81">
        <v>0</v>
      </c>
      <c r="M1031" s="81">
        <v>0</v>
      </c>
      <c r="N1031" s="81">
        <v>0</v>
      </c>
      <c r="O1031" s="81">
        <v>0</v>
      </c>
      <c r="P1031" s="81">
        <v>0</v>
      </c>
      <c r="Q1031" s="81">
        <v>0</v>
      </c>
      <c r="R1031" s="81">
        <v>0</v>
      </c>
      <c r="S1031" s="82">
        <v>0</v>
      </c>
      <c r="T1031" s="81">
        <f>1*100/14</f>
        <v>7.1428571428571432</v>
      </c>
      <c r="U1031" s="81">
        <v>0</v>
      </c>
      <c r="V1031" s="81">
        <v>0</v>
      </c>
      <c r="W1031" s="81">
        <v>0</v>
      </c>
      <c r="X1031" s="81">
        <v>0</v>
      </c>
      <c r="Y1031" s="81">
        <v>0</v>
      </c>
      <c r="Z1031" s="81">
        <v>0</v>
      </c>
      <c r="AA1031" s="81">
        <v>0</v>
      </c>
      <c r="AB1031" s="81">
        <v>0</v>
      </c>
      <c r="AC1031" s="81">
        <v>0</v>
      </c>
      <c r="AD1031" s="83">
        <f t="shared" si="119"/>
        <v>99.999999999999986</v>
      </c>
      <c r="AE1031" s="81">
        <f>1.4*100/14</f>
        <v>10</v>
      </c>
      <c r="AF1031" s="81">
        <v>0</v>
      </c>
      <c r="AG1031" s="81">
        <v>0</v>
      </c>
      <c r="AH1031" s="81">
        <v>0</v>
      </c>
      <c r="AI1031" s="79" t="s">
        <v>1528</v>
      </c>
      <c r="AJ1031" s="65"/>
      <c r="AK1031" s="78"/>
      <c r="AL1031" s="200"/>
      <c r="AM1031" s="190"/>
      <c r="AN1031" s="190"/>
      <c r="AO1031" s="190"/>
      <c r="AP1031" s="190"/>
      <c r="AQ1031" s="190"/>
      <c r="AR1031" s="190"/>
      <c r="AS1031" s="190"/>
      <c r="AT1031" s="201"/>
      <c r="AU1031" s="190"/>
      <c r="AV1031" s="202"/>
      <c r="AW1031" s="190"/>
      <c r="AX1031" s="190"/>
      <c r="AY1031" s="79"/>
      <c r="AZ1031" s="65"/>
      <c r="BA1031" s="78"/>
      <c r="BB1031" s="65">
        <v>1</v>
      </c>
      <c r="BC1031" s="65">
        <v>2.08</v>
      </c>
      <c r="BD1031" s="65">
        <v>390.6</v>
      </c>
      <c r="BE1031" s="65">
        <v>33.137</v>
      </c>
      <c r="BF1031" s="79"/>
      <c r="BG1031" s="65"/>
      <c r="BH1031" s="78"/>
      <c r="BI1031" s="65"/>
      <c r="BJ1031" s="68"/>
      <c r="BK1031" s="266"/>
    </row>
    <row r="1032" spans="1:63" ht="23.25" customHeight="1" thickBot="1" x14ac:dyDescent="0.25">
      <c r="A1032" s="62">
        <v>1031</v>
      </c>
      <c r="B1032" s="110">
        <v>1018</v>
      </c>
      <c r="C1032" s="110" t="s">
        <v>1632</v>
      </c>
      <c r="D1032" s="54" t="s">
        <v>17</v>
      </c>
      <c r="E1032" s="54"/>
      <c r="F1032" s="16">
        <f>11.6*100/14</f>
        <v>82.857142857142861</v>
      </c>
      <c r="G1032" s="8">
        <f>1.4*100/14</f>
        <v>10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17">
        <v>0</v>
      </c>
      <c r="T1032" s="8">
        <f>1*100/14</f>
        <v>7.1428571428571432</v>
      </c>
      <c r="U1032" s="8">
        <v>0</v>
      </c>
      <c r="V1032" s="8">
        <v>0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  <c r="AD1032" s="14">
        <f t="shared" si="119"/>
        <v>100</v>
      </c>
      <c r="AE1032" s="8">
        <v>0</v>
      </c>
      <c r="AF1032" s="8">
        <v>0</v>
      </c>
      <c r="AG1032" s="8">
        <v>0</v>
      </c>
      <c r="AH1032" s="8">
        <v>0</v>
      </c>
      <c r="AI1032" s="39" t="s">
        <v>1527</v>
      </c>
      <c r="AJ1032" s="7">
        <v>24</v>
      </c>
      <c r="AK1032" s="62">
        <v>1323</v>
      </c>
      <c r="AL1032" s="158"/>
      <c r="AM1032" s="85"/>
      <c r="AN1032" s="85"/>
      <c r="AO1032" s="85"/>
      <c r="AP1032" s="85"/>
      <c r="AQ1032" s="85"/>
      <c r="AR1032" s="85"/>
      <c r="AS1032" s="85"/>
      <c r="AT1032" s="205"/>
      <c r="AU1032" s="85"/>
      <c r="AV1032" s="196"/>
      <c r="AW1032" s="85"/>
      <c r="AX1032" s="85"/>
      <c r="AY1032" s="39"/>
      <c r="AZ1032" s="7">
        <v>212</v>
      </c>
      <c r="BA1032" s="62"/>
      <c r="BB1032" s="7" t="s">
        <v>523</v>
      </c>
      <c r="BC1032" s="7" t="s">
        <v>1377</v>
      </c>
      <c r="BD1032" s="7"/>
      <c r="BE1032" s="7" t="s">
        <v>1378</v>
      </c>
      <c r="BF1032" s="39"/>
      <c r="BG1032" s="7"/>
      <c r="BH1032" s="62"/>
      <c r="BI1032" s="7"/>
      <c r="BJ1032" s="32">
        <v>1</v>
      </c>
      <c r="BK1032" s="54" t="s">
        <v>1732</v>
      </c>
    </row>
    <row r="1033" spans="1:63" s="4" customFormat="1" ht="23.25" customHeight="1" x14ac:dyDescent="0.2">
      <c r="A1033" s="7">
        <v>1032</v>
      </c>
      <c r="B1033" s="218">
        <v>1019</v>
      </c>
      <c r="C1033" s="218" t="s">
        <v>1633</v>
      </c>
      <c r="D1033" s="12" t="s">
        <v>17</v>
      </c>
      <c r="E1033" s="12"/>
      <c r="F1033" s="87">
        <f>11.6*100/14</f>
        <v>82.857142857142861</v>
      </c>
      <c r="G1033" s="88">
        <f>1.4*100/14</f>
        <v>10</v>
      </c>
      <c r="H1033" s="88">
        <v>0</v>
      </c>
      <c r="I1033" s="88">
        <v>0</v>
      </c>
      <c r="J1033" s="88">
        <v>0</v>
      </c>
      <c r="K1033" s="88">
        <v>0</v>
      </c>
      <c r="L1033" s="88">
        <v>0</v>
      </c>
      <c r="M1033" s="88">
        <v>0</v>
      </c>
      <c r="N1033" s="88">
        <v>0</v>
      </c>
      <c r="O1033" s="88">
        <v>0</v>
      </c>
      <c r="P1033" s="88">
        <v>0</v>
      </c>
      <c r="Q1033" s="88">
        <v>0</v>
      </c>
      <c r="R1033" s="88">
        <v>0</v>
      </c>
      <c r="S1033" s="89">
        <v>0</v>
      </c>
      <c r="T1033" s="88">
        <f>1*100/14</f>
        <v>7.1428571428571432</v>
      </c>
      <c r="U1033" s="88">
        <v>0</v>
      </c>
      <c r="V1033" s="88">
        <v>0</v>
      </c>
      <c r="W1033" s="88">
        <v>0</v>
      </c>
      <c r="X1033" s="88">
        <v>0</v>
      </c>
      <c r="Y1033" s="88">
        <v>0</v>
      </c>
      <c r="Z1033" s="88">
        <v>0</v>
      </c>
      <c r="AA1033" s="88">
        <v>0</v>
      </c>
      <c r="AB1033" s="88">
        <v>0</v>
      </c>
      <c r="AC1033" s="88">
        <v>0</v>
      </c>
      <c r="AD1033" s="90">
        <f t="shared" si="119"/>
        <v>100</v>
      </c>
      <c r="AE1033" s="88">
        <v>0</v>
      </c>
      <c r="AF1033" s="88">
        <v>0</v>
      </c>
      <c r="AG1033" s="88">
        <v>0</v>
      </c>
      <c r="AH1033" s="88">
        <v>0</v>
      </c>
      <c r="AI1033" s="156" t="s">
        <v>1527</v>
      </c>
      <c r="AJ1033" s="45">
        <v>72</v>
      </c>
      <c r="AK1033" s="91">
        <v>1373</v>
      </c>
      <c r="AL1033" s="197"/>
      <c r="AM1033" s="189"/>
      <c r="AN1033" s="189"/>
      <c r="AO1033" s="189"/>
      <c r="AP1033" s="189"/>
      <c r="AQ1033" s="189"/>
      <c r="AR1033" s="189"/>
      <c r="AS1033" s="189"/>
      <c r="AT1033" s="198"/>
      <c r="AU1033" s="189"/>
      <c r="AV1033" s="199"/>
      <c r="AW1033" s="189"/>
      <c r="AX1033" s="189"/>
      <c r="AY1033" s="156">
        <v>0.05</v>
      </c>
      <c r="AZ1033" s="45">
        <v>205</v>
      </c>
      <c r="BA1033" s="91">
        <v>5.2</v>
      </c>
      <c r="BB1033" s="45">
        <v>3</v>
      </c>
      <c r="BC1033" s="45">
        <v>6.8</v>
      </c>
      <c r="BD1033" s="45">
        <v>205.3</v>
      </c>
      <c r="BE1033" s="45">
        <v>16.7</v>
      </c>
      <c r="BF1033" s="156"/>
      <c r="BG1033" s="45"/>
      <c r="BH1033" s="91"/>
      <c r="BI1033" s="45"/>
      <c r="BJ1033" s="67">
        <v>1</v>
      </c>
      <c r="BK1033" s="227" t="s">
        <v>1731</v>
      </c>
    </row>
    <row r="1034" spans="1:63" ht="23.25" customHeight="1" x14ac:dyDescent="0.2">
      <c r="A1034" s="62">
        <v>1033</v>
      </c>
      <c r="B1034" s="221"/>
      <c r="C1034" s="221"/>
      <c r="D1034" s="54" t="s">
        <v>1379</v>
      </c>
      <c r="E1034" s="54"/>
      <c r="F1034" s="16">
        <f>11.6*100/14.03</f>
        <v>82.679971489665007</v>
      </c>
      <c r="G1034" s="8">
        <f>1.4*100/14.03</f>
        <v>9.9786172487526734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>
        <f>0.03*100/14</f>
        <v>0.21428571428571427</v>
      </c>
      <c r="S1034" s="17">
        <v>0</v>
      </c>
      <c r="T1034" s="8">
        <f>1*100/14.03</f>
        <v>7.1275837491090526</v>
      </c>
      <c r="U1034" s="8">
        <v>0</v>
      </c>
      <c r="V1034" s="8">
        <v>0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14">
        <f t="shared" si="119"/>
        <v>100.00045820181244</v>
      </c>
      <c r="AE1034" s="8">
        <v>0</v>
      </c>
      <c r="AF1034" s="8">
        <v>0</v>
      </c>
      <c r="AG1034" s="8">
        <v>0</v>
      </c>
      <c r="AH1034" s="8">
        <v>0</v>
      </c>
      <c r="AI1034" s="39" t="s">
        <v>1527</v>
      </c>
      <c r="AJ1034" s="7">
        <v>72</v>
      </c>
      <c r="AK1034" s="62">
        <v>1373</v>
      </c>
      <c r="AL1034" s="158"/>
      <c r="AM1034" s="85"/>
      <c r="AN1034" s="85"/>
      <c r="AO1034" s="85"/>
      <c r="AP1034" s="85"/>
      <c r="AQ1034" s="85"/>
      <c r="AR1034" s="85"/>
      <c r="AS1034" s="85"/>
      <c r="AT1034" s="205"/>
      <c r="AU1034" s="85"/>
      <c r="AV1034" s="196"/>
      <c r="AW1034" s="85"/>
      <c r="AX1034" s="85"/>
      <c r="AY1034" s="39">
        <v>0.05</v>
      </c>
      <c r="AZ1034" s="7">
        <v>192</v>
      </c>
      <c r="BA1034" s="62">
        <v>5.2</v>
      </c>
      <c r="BB1034" s="7">
        <v>3</v>
      </c>
      <c r="BC1034" s="7">
        <v>5.82</v>
      </c>
      <c r="BD1034" s="7">
        <v>194.5</v>
      </c>
      <c r="BE1034" s="7">
        <v>14.9</v>
      </c>
      <c r="BF1034" s="39"/>
      <c r="BG1034" s="7"/>
      <c r="BH1034" s="62"/>
      <c r="BI1034" s="7"/>
      <c r="BJ1034" s="32">
        <v>1</v>
      </c>
      <c r="BK1034" s="230"/>
    </row>
    <row r="1035" spans="1:63" s="6" customFormat="1" ht="23.25" customHeight="1" thickBot="1" x14ac:dyDescent="0.25">
      <c r="A1035" s="7">
        <v>1034</v>
      </c>
      <c r="B1035" s="222"/>
      <c r="C1035" s="222"/>
      <c r="D1035" s="13" t="s">
        <v>1380</v>
      </c>
      <c r="E1035" s="13"/>
      <c r="F1035" s="80">
        <f>11.6*100/14.03</f>
        <v>82.679971489665007</v>
      </c>
      <c r="G1035" s="81">
        <f>1.4*100/14.03</f>
        <v>9.9786172487526734</v>
      </c>
      <c r="H1035" s="81">
        <v>0</v>
      </c>
      <c r="I1035" s="81">
        <v>0</v>
      </c>
      <c r="J1035" s="81">
        <v>0</v>
      </c>
      <c r="K1035" s="81">
        <v>0</v>
      </c>
      <c r="L1035" s="81">
        <v>0</v>
      </c>
      <c r="M1035" s="81">
        <v>0</v>
      </c>
      <c r="N1035" s="81">
        <v>0</v>
      </c>
      <c r="O1035" s="81">
        <v>0</v>
      </c>
      <c r="P1035" s="81">
        <v>0</v>
      </c>
      <c r="Q1035" s="81">
        <f>0.03*100/14</f>
        <v>0.21428571428571427</v>
      </c>
      <c r="R1035" s="81">
        <v>0</v>
      </c>
      <c r="S1035" s="82">
        <v>0</v>
      </c>
      <c r="T1035" s="81">
        <f>1*100/14.03</f>
        <v>7.1275837491090526</v>
      </c>
      <c r="U1035" s="81">
        <v>0</v>
      </c>
      <c r="V1035" s="81">
        <v>0</v>
      </c>
      <c r="W1035" s="81">
        <v>0</v>
      </c>
      <c r="X1035" s="81">
        <v>0</v>
      </c>
      <c r="Y1035" s="81">
        <v>0</v>
      </c>
      <c r="Z1035" s="81">
        <v>0</v>
      </c>
      <c r="AA1035" s="81">
        <v>0</v>
      </c>
      <c r="AB1035" s="81">
        <v>0</v>
      </c>
      <c r="AC1035" s="81">
        <v>0</v>
      </c>
      <c r="AD1035" s="83">
        <f t="shared" si="119"/>
        <v>100.00045820181244</v>
      </c>
      <c r="AE1035" s="81">
        <v>0</v>
      </c>
      <c r="AF1035" s="81">
        <v>0</v>
      </c>
      <c r="AG1035" s="81">
        <v>0</v>
      </c>
      <c r="AH1035" s="81">
        <v>0</v>
      </c>
      <c r="AI1035" s="79" t="s">
        <v>1527</v>
      </c>
      <c r="AJ1035" s="65">
        <v>72</v>
      </c>
      <c r="AK1035" s="78">
        <v>1373</v>
      </c>
      <c r="AL1035" s="200"/>
      <c r="AM1035" s="190"/>
      <c r="AN1035" s="190"/>
      <c r="AO1035" s="190"/>
      <c r="AP1035" s="190"/>
      <c r="AQ1035" s="190"/>
      <c r="AR1035" s="190"/>
      <c r="AS1035" s="190"/>
      <c r="AT1035" s="201"/>
      <c r="AU1035" s="190"/>
      <c r="AV1035" s="202"/>
      <c r="AW1035" s="190"/>
      <c r="AX1035" s="190"/>
      <c r="AY1035" s="79">
        <v>0.05</v>
      </c>
      <c r="AZ1035" s="65">
        <v>194</v>
      </c>
      <c r="BA1035" s="78">
        <v>8.1999999999999993</v>
      </c>
      <c r="BB1035" s="65">
        <v>3</v>
      </c>
      <c r="BC1035" s="65">
        <v>31.15</v>
      </c>
      <c r="BD1035" s="65">
        <v>193.6</v>
      </c>
      <c r="BE1035" s="65">
        <v>10.4</v>
      </c>
      <c r="BF1035" s="79"/>
      <c r="BG1035" s="65"/>
      <c r="BH1035" s="78"/>
      <c r="BI1035" s="65"/>
      <c r="BJ1035" s="68">
        <v>1</v>
      </c>
      <c r="BK1035" s="229"/>
    </row>
    <row r="1036" spans="1:63" ht="23.25" customHeight="1" x14ac:dyDescent="0.2">
      <c r="A1036" s="62">
        <v>1035</v>
      </c>
      <c r="B1036" s="218">
        <v>1020</v>
      </c>
      <c r="C1036" s="218" t="s">
        <v>1634</v>
      </c>
      <c r="D1036" s="225" t="s">
        <v>113</v>
      </c>
      <c r="E1036" s="54" t="s">
        <v>1679</v>
      </c>
      <c r="F1036" s="16">
        <f>11.6*100/14</f>
        <v>82.857142857142861</v>
      </c>
      <c r="G1036" s="8">
        <f>1.4*100/14</f>
        <v>10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17">
        <v>0</v>
      </c>
      <c r="T1036" s="8">
        <f>1*100/14</f>
        <v>7.1428571428571432</v>
      </c>
      <c r="U1036" s="8">
        <v>0</v>
      </c>
      <c r="V1036" s="8">
        <v>0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14">
        <f t="shared" si="119"/>
        <v>100</v>
      </c>
      <c r="AE1036" s="8">
        <v>0</v>
      </c>
      <c r="AF1036" s="8">
        <v>0</v>
      </c>
      <c r="AG1036" s="8">
        <v>0</v>
      </c>
      <c r="AH1036" s="8">
        <v>0</v>
      </c>
      <c r="AI1036" s="39" t="s">
        <v>1529</v>
      </c>
      <c r="AJ1036" s="7">
        <v>6</v>
      </c>
      <c r="AK1036" s="62">
        <v>1273</v>
      </c>
      <c r="AL1036" s="158"/>
      <c r="AM1036" s="85"/>
      <c r="AN1036" s="85"/>
      <c r="AO1036" s="85"/>
      <c r="AP1036" s="85"/>
      <c r="AQ1036" s="85"/>
      <c r="AR1036" s="85"/>
      <c r="AS1036" s="85"/>
      <c r="AT1036" s="205"/>
      <c r="AU1036" s="85"/>
      <c r="AV1036" s="196"/>
      <c r="AW1036" s="85"/>
      <c r="AX1036" s="85"/>
      <c r="AY1036" s="39"/>
      <c r="AZ1036" s="7">
        <v>190.4</v>
      </c>
      <c r="BA1036" s="62"/>
      <c r="BB1036" s="7">
        <v>1</v>
      </c>
      <c r="BC1036" s="7">
        <v>12.48</v>
      </c>
      <c r="BD1036" s="7">
        <v>189</v>
      </c>
      <c r="BE1036" s="7">
        <v>6.8239999999999998</v>
      </c>
      <c r="BF1036" s="39"/>
      <c r="BG1036" s="7"/>
      <c r="BH1036" s="62"/>
      <c r="BI1036" s="7"/>
      <c r="BJ1036" s="32">
        <v>1</v>
      </c>
      <c r="BK1036" s="54"/>
    </row>
    <row r="1037" spans="1:63" ht="23.25" customHeight="1" x14ac:dyDescent="0.2">
      <c r="A1037" s="7">
        <v>1036</v>
      </c>
      <c r="B1037" s="221"/>
      <c r="C1037" s="221"/>
      <c r="D1037" s="223"/>
      <c r="E1037" s="54" t="s">
        <v>1664</v>
      </c>
      <c r="F1037" s="16">
        <f t="shared" ref="F1037:F1039" si="121">11.6*100/14</f>
        <v>82.857142857142861</v>
      </c>
      <c r="G1037" s="8">
        <f t="shared" ref="G1037:G1039" si="122">1.4*100/14</f>
        <v>10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17">
        <v>0</v>
      </c>
      <c r="T1037" s="8">
        <f t="shared" ref="T1037:T1039" si="123">1*100/14</f>
        <v>7.1428571428571432</v>
      </c>
      <c r="U1037" s="8">
        <v>0</v>
      </c>
      <c r="V1037" s="8">
        <v>0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  <c r="AD1037" s="14">
        <f t="shared" si="119"/>
        <v>100</v>
      </c>
      <c r="AE1037" s="8">
        <v>0</v>
      </c>
      <c r="AF1037" s="8">
        <v>0</v>
      </c>
      <c r="AG1037" s="8">
        <v>0</v>
      </c>
      <c r="AH1037" s="8">
        <f>0.3*100/14</f>
        <v>2.1428571428571428</v>
      </c>
      <c r="AI1037" s="39" t="s">
        <v>1529</v>
      </c>
      <c r="AJ1037" s="7">
        <v>6</v>
      </c>
      <c r="AK1037" s="62">
        <v>1273</v>
      </c>
      <c r="AL1037" s="158"/>
      <c r="AM1037" s="85"/>
      <c r="AN1037" s="85"/>
      <c r="AO1037" s="85"/>
      <c r="AP1037" s="85"/>
      <c r="AQ1037" s="85"/>
      <c r="AR1037" s="85"/>
      <c r="AS1037" s="85"/>
      <c r="AT1037" s="205"/>
      <c r="AU1037" s="85"/>
      <c r="AV1037" s="196"/>
      <c r="AW1037" s="85"/>
      <c r="AX1037" s="85"/>
      <c r="AY1037" s="39"/>
      <c r="AZ1037" s="7">
        <v>192.4</v>
      </c>
      <c r="BA1037" s="62"/>
      <c r="BB1037" s="7">
        <v>1</v>
      </c>
      <c r="BC1037" s="7">
        <v>12.28</v>
      </c>
      <c r="BD1037" s="7">
        <v>190.8</v>
      </c>
      <c r="BE1037" s="7">
        <v>5.6870000000000003</v>
      </c>
      <c r="BF1037" s="39"/>
      <c r="BG1037" s="7"/>
      <c r="BH1037" s="62"/>
      <c r="BI1037" s="7"/>
      <c r="BJ1037" s="32">
        <v>1</v>
      </c>
      <c r="BK1037" s="54"/>
    </row>
    <row r="1038" spans="1:63" ht="23.25" customHeight="1" x14ac:dyDescent="0.2">
      <c r="A1038" s="62">
        <v>1037</v>
      </c>
      <c r="B1038" s="221"/>
      <c r="C1038" s="221"/>
      <c r="D1038" s="223"/>
      <c r="E1038" s="54" t="s">
        <v>1676</v>
      </c>
      <c r="F1038" s="16">
        <f t="shared" si="121"/>
        <v>82.857142857142861</v>
      </c>
      <c r="G1038" s="8">
        <f t="shared" si="122"/>
        <v>10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17">
        <v>0</v>
      </c>
      <c r="T1038" s="8">
        <f t="shared" si="123"/>
        <v>7.1428571428571432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14">
        <f t="shared" si="119"/>
        <v>100</v>
      </c>
      <c r="AE1038" s="8">
        <v>0</v>
      </c>
      <c r="AF1038" s="8">
        <v>0</v>
      </c>
      <c r="AG1038" s="8">
        <v>0</v>
      </c>
      <c r="AH1038" s="8">
        <f>0.5*100/14</f>
        <v>3.5714285714285716</v>
      </c>
      <c r="AI1038" s="39" t="s">
        <v>1529</v>
      </c>
      <c r="AJ1038" s="7">
        <v>6</v>
      </c>
      <c r="AK1038" s="62">
        <v>1273</v>
      </c>
      <c r="AL1038" s="158"/>
      <c r="AM1038" s="85"/>
      <c r="AN1038" s="85"/>
      <c r="AO1038" s="85"/>
      <c r="AP1038" s="85"/>
      <c r="AQ1038" s="85"/>
      <c r="AR1038" s="85"/>
      <c r="AS1038" s="85"/>
      <c r="AT1038" s="205"/>
      <c r="AU1038" s="85"/>
      <c r="AV1038" s="196"/>
      <c r="AW1038" s="85"/>
      <c r="AX1038" s="85"/>
      <c r="AY1038" s="39"/>
      <c r="AZ1038" s="7">
        <v>195.8</v>
      </c>
      <c r="BA1038" s="62">
        <v>2.8</v>
      </c>
      <c r="BB1038" s="7">
        <v>1</v>
      </c>
      <c r="BC1038" s="7">
        <v>11.97</v>
      </c>
      <c r="BD1038" s="7">
        <v>194.1</v>
      </c>
      <c r="BE1038" s="7">
        <v>8.3000000000000007</v>
      </c>
      <c r="BF1038" s="39"/>
      <c r="BG1038" s="7"/>
      <c r="BH1038" s="62"/>
      <c r="BI1038" s="7"/>
      <c r="BJ1038" s="32">
        <v>1</v>
      </c>
      <c r="BK1038" s="54"/>
    </row>
    <row r="1039" spans="1:63" ht="23.25" customHeight="1" thickBot="1" x14ac:dyDescent="0.25">
      <c r="A1039" s="7">
        <v>1038</v>
      </c>
      <c r="B1039" s="222"/>
      <c r="C1039" s="222"/>
      <c r="D1039" s="224"/>
      <c r="E1039" s="54" t="s">
        <v>1661</v>
      </c>
      <c r="F1039" s="16">
        <f t="shared" si="121"/>
        <v>82.857142857142861</v>
      </c>
      <c r="G1039" s="8">
        <f t="shared" si="122"/>
        <v>10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17">
        <v>0</v>
      </c>
      <c r="T1039" s="8">
        <f t="shared" si="123"/>
        <v>7.1428571428571432</v>
      </c>
      <c r="U1039" s="8">
        <v>0</v>
      </c>
      <c r="V1039" s="8">
        <v>0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14">
        <f t="shared" si="119"/>
        <v>100</v>
      </c>
      <c r="AE1039" s="8">
        <v>0</v>
      </c>
      <c r="AF1039" s="8">
        <v>0</v>
      </c>
      <c r="AG1039" s="8">
        <v>0</v>
      </c>
      <c r="AH1039" s="8">
        <f>0.7*100/14</f>
        <v>5</v>
      </c>
      <c r="AI1039" s="39" t="s">
        <v>1529</v>
      </c>
      <c r="AJ1039" s="7">
        <v>6</v>
      </c>
      <c r="AK1039" s="62">
        <v>1273</v>
      </c>
      <c r="AL1039" s="158"/>
      <c r="AM1039" s="85"/>
      <c r="AN1039" s="85"/>
      <c r="AO1039" s="85"/>
      <c r="AP1039" s="85"/>
      <c r="AQ1039" s="85"/>
      <c r="AR1039" s="85"/>
      <c r="AS1039" s="85"/>
      <c r="AT1039" s="205"/>
      <c r="AU1039" s="85"/>
      <c r="AV1039" s="196"/>
      <c r="AW1039" s="85"/>
      <c r="AX1039" s="85"/>
      <c r="AY1039" s="39"/>
      <c r="AZ1039" s="7">
        <v>197.7</v>
      </c>
      <c r="BA1039" s="62">
        <v>0</v>
      </c>
      <c r="BB1039" s="7">
        <v>1</v>
      </c>
      <c r="BC1039" s="7">
        <v>5.75</v>
      </c>
      <c r="BD1039" s="7">
        <v>196</v>
      </c>
      <c r="BE1039" s="7">
        <v>15.356</v>
      </c>
      <c r="BF1039" s="39"/>
      <c r="BG1039" s="7"/>
      <c r="BH1039" s="62"/>
      <c r="BI1039" s="7"/>
      <c r="BJ1039" s="32">
        <v>1</v>
      </c>
      <c r="BK1039" s="54"/>
    </row>
    <row r="1040" spans="1:63" s="19" customFormat="1" ht="23.25" customHeight="1" thickBot="1" x14ac:dyDescent="0.25">
      <c r="A1040" s="62">
        <v>1039</v>
      </c>
      <c r="B1040" s="108">
        <v>1021</v>
      </c>
      <c r="C1040" s="108" t="s">
        <v>1635</v>
      </c>
      <c r="D1040" s="21" t="s">
        <v>1383</v>
      </c>
      <c r="E1040" s="21"/>
      <c r="F1040" s="99">
        <f>11*100/14</f>
        <v>78.571428571428569</v>
      </c>
      <c r="G1040" s="100">
        <f>1.05*100/14</f>
        <v>7.5</v>
      </c>
      <c r="H1040" s="100">
        <v>0</v>
      </c>
      <c r="I1040" s="100">
        <v>0</v>
      </c>
      <c r="J1040" s="100">
        <f>0.95*100/14</f>
        <v>6.7857142857142856</v>
      </c>
      <c r="K1040" s="100">
        <v>0</v>
      </c>
      <c r="L1040" s="100">
        <v>0</v>
      </c>
      <c r="M1040" s="100">
        <v>0</v>
      </c>
      <c r="N1040" s="100">
        <v>0</v>
      </c>
      <c r="O1040" s="100">
        <v>0</v>
      </c>
      <c r="P1040" s="100">
        <v>0</v>
      </c>
      <c r="Q1040" s="100">
        <v>0</v>
      </c>
      <c r="R1040" s="100">
        <v>0</v>
      </c>
      <c r="S1040" s="101">
        <v>0</v>
      </c>
      <c r="T1040" s="100">
        <f>1*100/14</f>
        <v>7.1428571428571432</v>
      </c>
      <c r="U1040" s="100">
        <v>0</v>
      </c>
      <c r="V1040" s="100">
        <v>0</v>
      </c>
      <c r="W1040" s="100">
        <v>0</v>
      </c>
      <c r="X1040" s="100">
        <v>0</v>
      </c>
      <c r="Y1040" s="100">
        <v>0</v>
      </c>
      <c r="Z1040" s="100">
        <v>0</v>
      </c>
      <c r="AA1040" s="100">
        <v>0</v>
      </c>
      <c r="AB1040" s="100">
        <v>0</v>
      </c>
      <c r="AC1040" s="100">
        <v>0</v>
      </c>
      <c r="AD1040" s="102">
        <f t="shared" si="119"/>
        <v>100</v>
      </c>
      <c r="AE1040" s="100">
        <v>0</v>
      </c>
      <c r="AF1040" s="100">
        <v>0</v>
      </c>
      <c r="AG1040" s="100">
        <v>0</v>
      </c>
      <c r="AH1040" s="100">
        <v>0</v>
      </c>
      <c r="AI1040" s="120" t="s">
        <v>1531</v>
      </c>
      <c r="AJ1040" s="98"/>
      <c r="AK1040" s="105"/>
      <c r="AL1040" s="206"/>
      <c r="AM1040" s="194"/>
      <c r="AN1040" s="194"/>
      <c r="AO1040" s="194"/>
      <c r="AP1040" s="194"/>
      <c r="AQ1040" s="194"/>
      <c r="AR1040" s="194"/>
      <c r="AS1040" s="194"/>
      <c r="AT1040" s="207"/>
      <c r="AU1040" s="194"/>
      <c r="AV1040" s="208"/>
      <c r="AW1040" s="194"/>
      <c r="AX1040" s="194"/>
      <c r="AY1040" s="120"/>
      <c r="AZ1040" s="98"/>
      <c r="BA1040" s="105"/>
      <c r="BB1040" s="98" t="s">
        <v>1384</v>
      </c>
      <c r="BC1040" s="98" t="s">
        <v>1385</v>
      </c>
      <c r="BD1040" s="98" t="s">
        <v>1386</v>
      </c>
      <c r="BE1040" s="98" t="s">
        <v>1387</v>
      </c>
      <c r="BF1040" s="120"/>
      <c r="BG1040" s="98"/>
      <c r="BH1040" s="105"/>
      <c r="BI1040" s="98"/>
      <c r="BJ1040" s="70">
        <v>1</v>
      </c>
      <c r="BK1040" s="21"/>
    </row>
    <row r="1041" spans="1:63" ht="23.25" customHeight="1" x14ac:dyDescent="0.2">
      <c r="A1041" s="7">
        <v>1040</v>
      </c>
      <c r="B1041" s="218">
        <v>1022</v>
      </c>
      <c r="C1041" s="218" t="s">
        <v>1636</v>
      </c>
      <c r="D1041" s="54" t="s">
        <v>10</v>
      </c>
      <c r="E1041" s="54"/>
      <c r="F1041" s="16">
        <f>11.5*100/14</f>
        <v>82.142857142857139</v>
      </c>
      <c r="G1041" s="8">
        <f>1.5*100/14</f>
        <v>10.714285714285714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17">
        <v>0</v>
      </c>
      <c r="T1041" s="8">
        <f>1*100/14</f>
        <v>7.1428571428571432</v>
      </c>
      <c r="U1041" s="8">
        <v>0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14">
        <f t="shared" si="119"/>
        <v>99.999999999999986</v>
      </c>
      <c r="AE1041" s="8">
        <v>0</v>
      </c>
      <c r="AF1041" s="8">
        <v>0</v>
      </c>
      <c r="AG1041" s="8">
        <v>0</v>
      </c>
      <c r="AH1041" s="8">
        <v>0</v>
      </c>
      <c r="AI1041" s="39" t="s">
        <v>1531</v>
      </c>
      <c r="AJ1041" s="7">
        <v>168</v>
      </c>
      <c r="AK1041" s="62">
        <v>1373</v>
      </c>
      <c r="AL1041" s="158"/>
      <c r="AM1041" s="85"/>
      <c r="AN1041" s="85"/>
      <c r="AO1041" s="85"/>
      <c r="AP1041" s="85"/>
      <c r="AQ1041" s="85"/>
      <c r="AR1041" s="85"/>
      <c r="AS1041" s="85"/>
      <c r="AT1041" s="205"/>
      <c r="AU1041" s="85"/>
      <c r="AV1041" s="196"/>
      <c r="AW1041" s="85"/>
      <c r="AX1041" s="85"/>
      <c r="AY1041" s="39">
        <v>0.05</v>
      </c>
      <c r="AZ1041" s="7">
        <v>205.5</v>
      </c>
      <c r="BA1041" s="62"/>
      <c r="BB1041" s="7"/>
      <c r="BC1041" s="7"/>
      <c r="BD1041" s="7"/>
      <c r="BE1041" s="7"/>
      <c r="BF1041" s="39"/>
      <c r="BG1041" s="7"/>
      <c r="BH1041" s="62"/>
      <c r="BI1041" s="7"/>
      <c r="BJ1041" s="32"/>
      <c r="BK1041" s="54"/>
    </row>
    <row r="1042" spans="1:63" ht="23.25" customHeight="1" x14ac:dyDescent="0.2">
      <c r="A1042" s="62">
        <v>1041</v>
      </c>
      <c r="B1042" s="221"/>
      <c r="C1042" s="221"/>
      <c r="D1042" s="54" t="s">
        <v>1388</v>
      </c>
      <c r="E1042" s="54"/>
      <c r="F1042" s="16">
        <f>11.25*100/14</f>
        <v>80.357142857142861</v>
      </c>
      <c r="G1042" s="8">
        <f>1.5*100/14</f>
        <v>10.714285714285714</v>
      </c>
      <c r="H1042" s="8">
        <v>0</v>
      </c>
      <c r="I1042" s="8">
        <v>0</v>
      </c>
      <c r="J1042" s="8">
        <f>0.125*100/14</f>
        <v>0.8928571428571429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f>0.125*100/14</f>
        <v>0.8928571428571429</v>
      </c>
      <c r="Q1042" s="8">
        <v>0</v>
      </c>
      <c r="R1042" s="8">
        <v>0</v>
      </c>
      <c r="S1042" s="17">
        <v>0</v>
      </c>
      <c r="T1042" s="8">
        <f>1*100/14</f>
        <v>7.1428571428571432</v>
      </c>
      <c r="U1042" s="8">
        <v>0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14">
        <f t="shared" si="119"/>
        <v>99.999999999999986</v>
      </c>
      <c r="AE1042" s="8">
        <v>0</v>
      </c>
      <c r="AF1042" s="8">
        <v>0</v>
      </c>
      <c r="AG1042" s="8">
        <v>0</v>
      </c>
      <c r="AH1042" s="8">
        <v>0</v>
      </c>
      <c r="AI1042" s="39" t="s">
        <v>1531</v>
      </c>
      <c r="AJ1042" s="7">
        <v>168</v>
      </c>
      <c r="AK1042" s="62">
        <v>1373</v>
      </c>
      <c r="AL1042" s="158"/>
      <c r="AM1042" s="85"/>
      <c r="AN1042" s="85"/>
      <c r="AO1042" s="85"/>
      <c r="AP1042" s="85"/>
      <c r="AQ1042" s="85"/>
      <c r="AR1042" s="85"/>
      <c r="AS1042" s="85"/>
      <c r="AT1042" s="205"/>
      <c r="AU1042" s="85"/>
      <c r="AV1042" s="196"/>
      <c r="AW1042" s="85"/>
      <c r="AX1042" s="85"/>
      <c r="AY1042" s="39">
        <v>0.05</v>
      </c>
      <c r="AZ1042" s="7">
        <v>201.3</v>
      </c>
      <c r="BA1042" s="62"/>
      <c r="BB1042" s="7"/>
      <c r="BC1042" s="7"/>
      <c r="BD1042" s="7"/>
      <c r="BE1042" s="7"/>
      <c r="BF1042" s="39"/>
      <c r="BG1042" s="7"/>
      <c r="BH1042" s="62"/>
      <c r="BI1042" s="7"/>
      <c r="BJ1042" s="32"/>
      <c r="BK1042" s="54"/>
    </row>
    <row r="1043" spans="1:63" ht="23.25" customHeight="1" thickBot="1" x14ac:dyDescent="0.25">
      <c r="A1043" s="7">
        <v>1042</v>
      </c>
      <c r="B1043" s="222"/>
      <c r="C1043" s="222"/>
      <c r="D1043" s="54" t="s">
        <v>1389</v>
      </c>
      <c r="E1043" s="54"/>
      <c r="F1043" s="16">
        <f>11*100/14</f>
        <v>78.571428571428569</v>
      </c>
      <c r="G1043" s="8">
        <f>1.5*100/14</f>
        <v>10.714285714285714</v>
      </c>
      <c r="H1043" s="8">
        <v>0</v>
      </c>
      <c r="I1043" s="8">
        <v>0</v>
      </c>
      <c r="J1043" s="8">
        <f>0.125*100/14</f>
        <v>0.8928571428571429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f>0.375*100/14</f>
        <v>2.6785714285714284</v>
      </c>
      <c r="Q1043" s="8">
        <v>0</v>
      </c>
      <c r="R1043" s="8">
        <v>0</v>
      </c>
      <c r="S1043" s="17">
        <v>0</v>
      </c>
      <c r="T1043" s="8">
        <f>1*100/14</f>
        <v>7.1428571428571432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14">
        <f t="shared" si="119"/>
        <v>99.999999999999986</v>
      </c>
      <c r="AE1043" s="8">
        <v>0</v>
      </c>
      <c r="AF1043" s="8">
        <v>0</v>
      </c>
      <c r="AG1043" s="8">
        <v>0</v>
      </c>
      <c r="AH1043" s="8">
        <v>0</v>
      </c>
      <c r="AI1043" s="39" t="s">
        <v>1531</v>
      </c>
      <c r="AJ1043" s="7">
        <v>168</v>
      </c>
      <c r="AK1043" s="62">
        <v>1373</v>
      </c>
      <c r="AL1043" s="158"/>
      <c r="AM1043" s="85"/>
      <c r="AN1043" s="85"/>
      <c r="AO1043" s="85"/>
      <c r="AP1043" s="85"/>
      <c r="AQ1043" s="85"/>
      <c r="AR1043" s="85"/>
      <c r="AS1043" s="85"/>
      <c r="AT1043" s="205"/>
      <c r="AU1043" s="85"/>
      <c r="AV1043" s="196"/>
      <c r="AW1043" s="85"/>
      <c r="AX1043" s="85"/>
      <c r="AY1043" s="39">
        <v>0.05</v>
      </c>
      <c r="AZ1043" s="7">
        <v>170</v>
      </c>
      <c r="BA1043" s="62"/>
      <c r="BB1043" s="7"/>
      <c r="BC1043" s="7"/>
      <c r="BD1043" s="7"/>
      <c r="BE1043" s="7"/>
      <c r="BF1043" s="39"/>
      <c r="BG1043" s="7"/>
      <c r="BH1043" s="62"/>
      <c r="BI1043" s="7"/>
      <c r="BJ1043" s="32"/>
      <c r="BK1043" s="54"/>
    </row>
    <row r="1044" spans="1:63" s="19" customFormat="1" ht="23.25" customHeight="1" thickBot="1" x14ac:dyDescent="0.25">
      <c r="A1044" s="62">
        <v>1043</v>
      </c>
      <c r="B1044" s="108">
        <v>942</v>
      </c>
      <c r="C1044" s="108" t="s">
        <v>1637</v>
      </c>
      <c r="D1044" s="21" t="s">
        <v>17</v>
      </c>
      <c r="E1044" s="21"/>
      <c r="F1044" s="99">
        <f>11.6*100/14</f>
        <v>82.857142857142861</v>
      </c>
      <c r="G1044" s="100">
        <f>1.4*100/14</f>
        <v>10</v>
      </c>
      <c r="H1044" s="100">
        <v>0</v>
      </c>
      <c r="I1044" s="100">
        <v>0</v>
      </c>
      <c r="J1044" s="100">
        <v>0</v>
      </c>
      <c r="K1044" s="100">
        <v>0</v>
      </c>
      <c r="L1044" s="100">
        <v>0</v>
      </c>
      <c r="M1044" s="100">
        <v>0</v>
      </c>
      <c r="N1044" s="100">
        <v>0</v>
      </c>
      <c r="O1044" s="100">
        <v>0</v>
      </c>
      <c r="P1044" s="100">
        <v>0</v>
      </c>
      <c r="Q1044" s="100">
        <v>0</v>
      </c>
      <c r="R1044" s="100">
        <v>0</v>
      </c>
      <c r="S1044" s="101">
        <v>0</v>
      </c>
      <c r="T1044" s="100">
        <f>1*100/14</f>
        <v>7.1428571428571432</v>
      </c>
      <c r="U1044" s="100">
        <v>0</v>
      </c>
      <c r="V1044" s="100">
        <v>0</v>
      </c>
      <c r="W1044" s="100">
        <v>0</v>
      </c>
      <c r="X1044" s="100">
        <v>0</v>
      </c>
      <c r="Y1044" s="100">
        <v>0</v>
      </c>
      <c r="Z1044" s="100">
        <v>0</v>
      </c>
      <c r="AA1044" s="100">
        <v>0</v>
      </c>
      <c r="AB1044" s="100">
        <v>0</v>
      </c>
      <c r="AC1044" s="100">
        <v>0</v>
      </c>
      <c r="AD1044" s="102">
        <f t="shared" si="119"/>
        <v>100</v>
      </c>
      <c r="AE1044" s="100">
        <v>0</v>
      </c>
      <c r="AF1044" s="100">
        <v>0</v>
      </c>
      <c r="AG1044" s="100">
        <v>0</v>
      </c>
      <c r="AH1044" s="100">
        <v>0</v>
      </c>
      <c r="AI1044" s="120" t="s">
        <v>1527</v>
      </c>
      <c r="AJ1044" s="98">
        <v>24</v>
      </c>
      <c r="AK1044" s="105">
        <v>1323</v>
      </c>
      <c r="AL1044" s="206">
        <v>84.7</v>
      </c>
      <c r="AM1044" s="194">
        <v>15.3</v>
      </c>
      <c r="AN1044" s="194"/>
      <c r="AO1044" s="194"/>
      <c r="AP1044" s="194"/>
      <c r="AQ1044" s="194"/>
      <c r="AR1044" s="194"/>
      <c r="AS1044" s="194"/>
      <c r="AT1044" s="207"/>
      <c r="AU1044" s="194"/>
      <c r="AV1044" s="208">
        <f t="shared" ref="AV1044:AV1046" si="124">SUM(AL1044:AT1044)</f>
        <v>100</v>
      </c>
      <c r="AW1044" s="194">
        <v>11.51</v>
      </c>
      <c r="AX1044" s="194"/>
      <c r="AY1044" s="120">
        <v>0.05</v>
      </c>
      <c r="AZ1044" s="98">
        <v>220</v>
      </c>
      <c r="BA1044" s="105"/>
      <c r="BB1044" s="98" t="s">
        <v>1152</v>
      </c>
      <c r="BC1044" s="98" t="s">
        <v>1390</v>
      </c>
      <c r="BD1044" s="98" t="s">
        <v>1392</v>
      </c>
      <c r="BE1044" s="98" t="s">
        <v>1391</v>
      </c>
      <c r="BF1044" s="120"/>
      <c r="BG1044" s="98"/>
      <c r="BH1044" s="105"/>
      <c r="BI1044" s="98"/>
      <c r="BJ1044" s="70">
        <v>1</v>
      </c>
      <c r="BK1044" s="21"/>
    </row>
    <row r="1045" spans="1:63" ht="23.25" customHeight="1" x14ac:dyDescent="0.2">
      <c r="A1045" s="7">
        <v>1044</v>
      </c>
      <c r="B1045" s="218">
        <v>943</v>
      </c>
      <c r="C1045" s="218" t="s">
        <v>1638</v>
      </c>
      <c r="D1045" s="54" t="s">
        <v>1393</v>
      </c>
      <c r="E1045" s="54"/>
      <c r="F1045" s="16">
        <f>11.6*100/14.3</f>
        <v>81.11888111888112</v>
      </c>
      <c r="G1045" s="8">
        <f>1.4*100/14.3</f>
        <v>9.79020979020979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17">
        <v>0</v>
      </c>
      <c r="T1045" s="8">
        <f>1.3*100/14.3</f>
        <v>9.0909090909090899</v>
      </c>
      <c r="U1045" s="8">
        <v>0</v>
      </c>
      <c r="V1045" s="8">
        <v>0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14">
        <f t="shared" si="119"/>
        <v>100</v>
      </c>
      <c r="AE1045" s="8">
        <v>0</v>
      </c>
      <c r="AF1045" s="8">
        <v>0</v>
      </c>
      <c r="AG1045" s="8">
        <v>0</v>
      </c>
      <c r="AH1045" s="8">
        <v>0</v>
      </c>
      <c r="AI1045" s="39" t="s">
        <v>1531</v>
      </c>
      <c r="AJ1045" s="7">
        <v>168</v>
      </c>
      <c r="AK1045" s="62">
        <v>1373</v>
      </c>
      <c r="AL1045" s="158">
        <v>88.2</v>
      </c>
      <c r="AM1045" s="85">
        <v>3.49</v>
      </c>
      <c r="AN1045" s="85"/>
      <c r="AO1045" s="85"/>
      <c r="AP1045" s="85"/>
      <c r="AQ1045" s="85">
        <v>8.31</v>
      </c>
      <c r="AR1045" s="85"/>
      <c r="AS1045" s="85"/>
      <c r="AT1045" s="205"/>
      <c r="AU1045" s="85"/>
      <c r="AV1045" s="196">
        <f t="shared" si="124"/>
        <v>100</v>
      </c>
      <c r="AW1045" s="85">
        <v>11.468999999999999</v>
      </c>
      <c r="AX1045" s="85"/>
      <c r="AY1045" s="39">
        <v>0.05</v>
      </c>
      <c r="AZ1045" s="7">
        <v>183</v>
      </c>
      <c r="BA1045" s="62">
        <v>2.2000000000000002</v>
      </c>
      <c r="BB1045" s="7" t="s">
        <v>1394</v>
      </c>
      <c r="BC1045" s="7" t="s">
        <v>1395</v>
      </c>
      <c r="BD1045" s="7" t="s">
        <v>1396</v>
      </c>
      <c r="BE1045" s="7" t="s">
        <v>1397</v>
      </c>
      <c r="BF1045" s="39"/>
      <c r="BG1045" s="7"/>
      <c r="BH1045" s="62"/>
      <c r="BI1045" s="7"/>
      <c r="BJ1045" s="32">
        <v>1</v>
      </c>
      <c r="BK1045" s="54"/>
    </row>
    <row r="1046" spans="1:63" ht="23.25" customHeight="1" thickBot="1" x14ac:dyDescent="0.25">
      <c r="A1046" s="62">
        <v>1045</v>
      </c>
      <c r="B1046" s="222"/>
      <c r="C1046" s="222"/>
      <c r="D1046" s="54" t="s">
        <v>1246</v>
      </c>
      <c r="E1046" s="54"/>
      <c r="F1046" s="16">
        <f>11.6*100/14.7</f>
        <v>78.911564625850346</v>
      </c>
      <c r="G1046" s="8">
        <f>1.4*100/14.7</f>
        <v>9.5238095238095237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17">
        <v>0</v>
      </c>
      <c r="T1046" s="8">
        <f>1.7*100/14.7</f>
        <v>11.564625850340137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14">
        <f t="shared" si="119"/>
        <v>100</v>
      </c>
      <c r="AE1046" s="8">
        <v>0</v>
      </c>
      <c r="AF1046" s="8">
        <v>0</v>
      </c>
      <c r="AG1046" s="8">
        <v>0</v>
      </c>
      <c r="AH1046" s="8">
        <v>0</v>
      </c>
      <c r="AI1046" s="39" t="s">
        <v>1531</v>
      </c>
      <c r="AJ1046" s="7">
        <v>168</v>
      </c>
      <c r="AK1046" s="62">
        <v>1373</v>
      </c>
      <c r="AL1046" s="158">
        <v>70.900000000000006</v>
      </c>
      <c r="AM1046" s="85">
        <v>3.83</v>
      </c>
      <c r="AN1046" s="85"/>
      <c r="AO1046" s="85"/>
      <c r="AP1046" s="85"/>
      <c r="AQ1046" s="85">
        <v>25.27</v>
      </c>
      <c r="AR1046" s="85"/>
      <c r="AS1046" s="85"/>
      <c r="AT1046" s="205"/>
      <c r="AU1046" s="85"/>
      <c r="AV1046" s="196">
        <f t="shared" si="124"/>
        <v>100</v>
      </c>
      <c r="AW1046" s="85">
        <v>11.487</v>
      </c>
      <c r="AX1046" s="85"/>
      <c r="AY1046" s="39">
        <v>0.05</v>
      </c>
      <c r="AZ1046" s="7">
        <v>184</v>
      </c>
      <c r="BA1046" s="62">
        <v>7.6</v>
      </c>
      <c r="BB1046" s="7" t="s">
        <v>1394</v>
      </c>
      <c r="BC1046" s="7" t="s">
        <v>1398</v>
      </c>
      <c r="BD1046" s="7" t="s">
        <v>1399</v>
      </c>
      <c r="BE1046" s="7" t="s">
        <v>1400</v>
      </c>
      <c r="BF1046" s="39"/>
      <c r="BG1046" s="7"/>
      <c r="BH1046" s="62"/>
      <c r="BI1046" s="7"/>
      <c r="BJ1046" s="32">
        <v>1</v>
      </c>
      <c r="BK1046" s="54"/>
    </row>
    <row r="1047" spans="1:63" s="4" customFormat="1" ht="23.25" customHeight="1" x14ac:dyDescent="0.2">
      <c r="A1047" s="7">
        <v>1046</v>
      </c>
      <c r="B1047" s="218">
        <v>946</v>
      </c>
      <c r="C1047" s="218" t="s">
        <v>1639</v>
      </c>
      <c r="D1047" s="225" t="s">
        <v>1401</v>
      </c>
      <c r="E1047" s="12" t="s">
        <v>1679</v>
      </c>
      <c r="F1047" s="87">
        <f>11.5*100/14</f>
        <v>82.142857142857139</v>
      </c>
      <c r="G1047" s="88">
        <f>1.5*100/14</f>
        <v>10.714285714285714</v>
      </c>
      <c r="H1047" s="88">
        <v>0</v>
      </c>
      <c r="I1047" s="88">
        <v>0</v>
      </c>
      <c r="J1047" s="88">
        <v>0</v>
      </c>
      <c r="K1047" s="88">
        <v>0</v>
      </c>
      <c r="L1047" s="88">
        <v>0</v>
      </c>
      <c r="M1047" s="88">
        <v>0</v>
      </c>
      <c r="N1047" s="88">
        <v>0</v>
      </c>
      <c r="O1047" s="88">
        <v>0</v>
      </c>
      <c r="P1047" s="88">
        <v>0</v>
      </c>
      <c r="Q1047" s="88">
        <v>0</v>
      </c>
      <c r="R1047" s="88">
        <v>0</v>
      </c>
      <c r="S1047" s="89">
        <v>0</v>
      </c>
      <c r="T1047" s="88">
        <f>(1-0)*100/14</f>
        <v>7.1428571428571432</v>
      </c>
      <c r="U1047" s="88">
        <v>0</v>
      </c>
      <c r="V1047" s="88">
        <v>0</v>
      </c>
      <c r="W1047" s="88">
        <v>0</v>
      </c>
      <c r="X1047" s="88">
        <v>0</v>
      </c>
      <c r="Y1047" s="88">
        <v>0</v>
      </c>
      <c r="Z1047" s="88">
        <f>0*100/14</f>
        <v>0</v>
      </c>
      <c r="AA1047" s="88">
        <v>0</v>
      </c>
      <c r="AB1047" s="88">
        <v>0</v>
      </c>
      <c r="AC1047" s="88">
        <v>0</v>
      </c>
      <c r="AD1047" s="90">
        <f t="shared" si="119"/>
        <v>99.999999999999986</v>
      </c>
      <c r="AE1047" s="88">
        <v>0</v>
      </c>
      <c r="AF1047" s="88">
        <v>0</v>
      </c>
      <c r="AG1047" s="88">
        <v>0</v>
      </c>
      <c r="AH1047" s="88">
        <v>0</v>
      </c>
      <c r="AI1047" s="156" t="s">
        <v>1531</v>
      </c>
      <c r="AJ1047" s="45">
        <v>216</v>
      </c>
      <c r="AK1047" s="91">
        <v>1323</v>
      </c>
      <c r="AL1047" s="197"/>
      <c r="AM1047" s="189"/>
      <c r="AN1047" s="189"/>
      <c r="AO1047" s="189"/>
      <c r="AP1047" s="189"/>
      <c r="AQ1047" s="189"/>
      <c r="AR1047" s="189"/>
      <c r="AS1047" s="189"/>
      <c r="AT1047" s="198"/>
      <c r="AU1047" s="189"/>
      <c r="AV1047" s="199"/>
      <c r="AW1047" s="189"/>
      <c r="AX1047" s="189"/>
      <c r="AY1047" s="156">
        <v>0.02</v>
      </c>
      <c r="AZ1047" s="45">
        <v>195</v>
      </c>
      <c r="BA1047" s="91">
        <v>5.2</v>
      </c>
      <c r="BB1047" s="45">
        <v>2</v>
      </c>
      <c r="BC1047" s="45">
        <v>16.5</v>
      </c>
      <c r="BD1047" s="45"/>
      <c r="BE1047" s="45">
        <v>9.3000000000000007</v>
      </c>
      <c r="BF1047" s="156"/>
      <c r="BG1047" s="45"/>
      <c r="BH1047" s="91"/>
      <c r="BI1047" s="45"/>
      <c r="BJ1047" s="67">
        <v>1</v>
      </c>
      <c r="BK1047" s="12"/>
    </row>
    <row r="1048" spans="1:63" ht="23.25" customHeight="1" x14ac:dyDescent="0.2">
      <c r="A1048" s="62">
        <v>1047</v>
      </c>
      <c r="B1048" s="221"/>
      <c r="C1048" s="221"/>
      <c r="D1048" s="223"/>
      <c r="E1048" s="54" t="s">
        <v>1681</v>
      </c>
      <c r="F1048" s="16">
        <f t="shared" ref="F1048:F1051" si="125">11.5*100/14</f>
        <v>82.142857142857139</v>
      </c>
      <c r="G1048" s="8">
        <f t="shared" ref="G1048:G1052" si="126">1.5*100/14</f>
        <v>10.714285714285714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17">
        <v>0</v>
      </c>
      <c r="T1048" s="8">
        <f>(1-0.05)*100/14</f>
        <v>6.7857142857142856</v>
      </c>
      <c r="U1048" s="8">
        <v>0</v>
      </c>
      <c r="V1048" s="8">
        <v>0</v>
      </c>
      <c r="W1048" s="8">
        <v>0</v>
      </c>
      <c r="X1048" s="8">
        <v>0</v>
      </c>
      <c r="Y1048" s="8">
        <v>0</v>
      </c>
      <c r="Z1048" s="8">
        <f>0.05*100/14</f>
        <v>0.35714285714285715</v>
      </c>
      <c r="AA1048" s="8">
        <v>0</v>
      </c>
      <c r="AB1048" s="8">
        <v>0</v>
      </c>
      <c r="AC1048" s="8">
        <v>0</v>
      </c>
      <c r="AD1048" s="14">
        <f t="shared" si="119"/>
        <v>100</v>
      </c>
      <c r="AE1048" s="8">
        <v>0</v>
      </c>
      <c r="AF1048" s="8">
        <v>0</v>
      </c>
      <c r="AG1048" s="8">
        <v>0</v>
      </c>
      <c r="AH1048" s="8">
        <v>0</v>
      </c>
      <c r="AI1048" s="39" t="s">
        <v>1531</v>
      </c>
      <c r="AJ1048" s="7">
        <v>216</v>
      </c>
      <c r="AK1048" s="62">
        <v>1323</v>
      </c>
      <c r="AL1048" s="158"/>
      <c r="AM1048" s="85"/>
      <c r="AN1048" s="85"/>
      <c r="AO1048" s="85"/>
      <c r="AP1048" s="85"/>
      <c r="AQ1048" s="85"/>
      <c r="AR1048" s="85"/>
      <c r="AS1048" s="85"/>
      <c r="AT1048" s="205"/>
      <c r="AU1048" s="85"/>
      <c r="AV1048" s="196"/>
      <c r="AW1048" s="85"/>
      <c r="AX1048" s="85"/>
      <c r="AY1048" s="39">
        <v>0.02</v>
      </c>
      <c r="AZ1048" s="7">
        <v>196</v>
      </c>
      <c r="BA1048" s="62">
        <v>5</v>
      </c>
      <c r="BB1048" s="7">
        <v>2</v>
      </c>
      <c r="BC1048" s="7">
        <v>15.3</v>
      </c>
      <c r="BD1048" s="7"/>
      <c r="BE1048" s="7">
        <v>9.1999999999999993</v>
      </c>
      <c r="BF1048" s="39"/>
      <c r="BG1048" s="7"/>
      <c r="BH1048" s="62"/>
      <c r="BI1048" s="7"/>
      <c r="BJ1048" s="32">
        <v>1</v>
      </c>
      <c r="BK1048" s="54"/>
    </row>
    <row r="1049" spans="1:63" ht="23.25" customHeight="1" x14ac:dyDescent="0.2">
      <c r="A1049" s="7">
        <v>1048</v>
      </c>
      <c r="B1049" s="221"/>
      <c r="C1049" s="221"/>
      <c r="D1049" s="223"/>
      <c r="E1049" s="54" t="s">
        <v>1662</v>
      </c>
      <c r="F1049" s="16">
        <f t="shared" si="125"/>
        <v>82.142857142857139</v>
      </c>
      <c r="G1049" s="8">
        <f t="shared" si="126"/>
        <v>10.714285714285714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17">
        <v>0</v>
      </c>
      <c r="T1049" s="8">
        <f>(1-0.1)*100/14</f>
        <v>6.4285714285714288</v>
      </c>
      <c r="U1049" s="8">
        <v>0</v>
      </c>
      <c r="V1049" s="8">
        <v>0</v>
      </c>
      <c r="W1049" s="8">
        <v>0</v>
      </c>
      <c r="X1049" s="8">
        <v>0</v>
      </c>
      <c r="Y1049" s="8">
        <v>0</v>
      </c>
      <c r="Z1049" s="8">
        <f>0.1*100/14</f>
        <v>0.7142857142857143</v>
      </c>
      <c r="AA1049" s="8">
        <v>0</v>
      </c>
      <c r="AB1049" s="8">
        <v>0</v>
      </c>
      <c r="AC1049" s="8">
        <v>0</v>
      </c>
      <c r="AD1049" s="14">
        <f t="shared" si="119"/>
        <v>99.999999999999986</v>
      </c>
      <c r="AE1049" s="8">
        <v>0</v>
      </c>
      <c r="AF1049" s="8">
        <v>0</v>
      </c>
      <c r="AG1049" s="8">
        <v>0</v>
      </c>
      <c r="AH1049" s="8">
        <v>0</v>
      </c>
      <c r="AI1049" s="39" t="s">
        <v>1531</v>
      </c>
      <c r="AJ1049" s="7">
        <v>216</v>
      </c>
      <c r="AK1049" s="62">
        <v>1323</v>
      </c>
      <c r="AL1049" s="158"/>
      <c r="AM1049" s="85"/>
      <c r="AN1049" s="85"/>
      <c r="AO1049" s="85"/>
      <c r="AP1049" s="85"/>
      <c r="AQ1049" s="85"/>
      <c r="AR1049" s="85"/>
      <c r="AS1049" s="85"/>
      <c r="AT1049" s="205"/>
      <c r="AU1049" s="85"/>
      <c r="AV1049" s="196"/>
      <c r="AW1049" s="85"/>
      <c r="AX1049" s="85"/>
      <c r="AY1049" s="39">
        <v>0.02</v>
      </c>
      <c r="AZ1049" s="7">
        <v>196</v>
      </c>
      <c r="BA1049" s="62">
        <v>4.5</v>
      </c>
      <c r="BB1049" s="7">
        <v>2</v>
      </c>
      <c r="BC1049" s="7">
        <v>12.6</v>
      </c>
      <c r="BD1049" s="7"/>
      <c r="BE1049" s="7">
        <v>9.3000000000000007</v>
      </c>
      <c r="BF1049" s="39"/>
      <c r="BG1049" s="7"/>
      <c r="BH1049" s="62"/>
      <c r="BI1049" s="7"/>
      <c r="BJ1049" s="32">
        <v>1</v>
      </c>
      <c r="BK1049" s="54"/>
    </row>
    <row r="1050" spans="1:63" ht="23.25" customHeight="1" x14ac:dyDescent="0.2">
      <c r="A1050" s="62">
        <v>1049</v>
      </c>
      <c r="B1050" s="221"/>
      <c r="C1050" s="221"/>
      <c r="D1050" s="223"/>
      <c r="E1050" s="54" t="s">
        <v>1665</v>
      </c>
      <c r="F1050" s="16">
        <f t="shared" si="125"/>
        <v>82.142857142857139</v>
      </c>
      <c r="G1050" s="8">
        <f t="shared" si="126"/>
        <v>10.714285714285714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17">
        <v>0</v>
      </c>
      <c r="T1050" s="8">
        <f>(1-0.15)*100/14</f>
        <v>6.0714285714285712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f>0.15*100/14</f>
        <v>1.0714285714285714</v>
      </c>
      <c r="AA1050" s="8">
        <v>0</v>
      </c>
      <c r="AB1050" s="8">
        <v>0</v>
      </c>
      <c r="AC1050" s="8">
        <v>0</v>
      </c>
      <c r="AD1050" s="14">
        <f t="shared" si="119"/>
        <v>99.999999999999986</v>
      </c>
      <c r="AE1050" s="8">
        <v>0</v>
      </c>
      <c r="AF1050" s="8">
        <v>0</v>
      </c>
      <c r="AG1050" s="8">
        <v>0</v>
      </c>
      <c r="AH1050" s="8">
        <v>0</v>
      </c>
      <c r="AI1050" s="39" t="s">
        <v>1531</v>
      </c>
      <c r="AJ1050" s="7">
        <v>216</v>
      </c>
      <c r="AK1050" s="62">
        <v>1323</v>
      </c>
      <c r="AL1050" s="158"/>
      <c r="AM1050" s="85"/>
      <c r="AN1050" s="85"/>
      <c r="AO1050" s="85"/>
      <c r="AP1050" s="85"/>
      <c r="AQ1050" s="85"/>
      <c r="AR1050" s="85"/>
      <c r="AS1050" s="85"/>
      <c r="AT1050" s="205"/>
      <c r="AU1050" s="85"/>
      <c r="AV1050" s="196"/>
      <c r="AW1050" s="85"/>
      <c r="AX1050" s="85"/>
      <c r="AY1050" s="39">
        <v>0.02</v>
      </c>
      <c r="AZ1050" s="7">
        <v>198</v>
      </c>
      <c r="BA1050" s="62">
        <v>3.6</v>
      </c>
      <c r="BB1050" s="7">
        <v>2</v>
      </c>
      <c r="BC1050" s="7">
        <v>9.5</v>
      </c>
      <c r="BD1050" s="7"/>
      <c r="BE1050" s="7">
        <v>11.6</v>
      </c>
      <c r="BF1050" s="39"/>
      <c r="BG1050" s="7"/>
      <c r="BH1050" s="62"/>
      <c r="BI1050" s="7"/>
      <c r="BJ1050" s="32">
        <v>1</v>
      </c>
      <c r="BK1050" s="54"/>
    </row>
    <row r="1051" spans="1:63" ht="23.25" customHeight="1" x14ac:dyDescent="0.2">
      <c r="A1051" s="7">
        <v>1050</v>
      </c>
      <c r="B1051" s="221"/>
      <c r="C1051" s="221"/>
      <c r="D1051" s="223"/>
      <c r="E1051" s="54" t="s">
        <v>1663</v>
      </c>
      <c r="F1051" s="16">
        <f t="shared" si="125"/>
        <v>82.142857142857139</v>
      </c>
      <c r="G1051" s="8">
        <f t="shared" si="126"/>
        <v>10.714285714285714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17">
        <v>0</v>
      </c>
      <c r="T1051" s="8">
        <f>(1-0.2)*100/14</f>
        <v>5.7142857142857144</v>
      </c>
      <c r="U1051" s="8">
        <v>0</v>
      </c>
      <c r="V1051" s="8">
        <v>0</v>
      </c>
      <c r="W1051" s="8">
        <v>0</v>
      </c>
      <c r="X1051" s="8">
        <v>0</v>
      </c>
      <c r="Y1051" s="8">
        <v>0</v>
      </c>
      <c r="Z1051" s="8">
        <f>0.2*100/14</f>
        <v>1.4285714285714286</v>
      </c>
      <c r="AA1051" s="8">
        <v>0</v>
      </c>
      <c r="AB1051" s="8">
        <v>0</v>
      </c>
      <c r="AC1051" s="8">
        <v>0</v>
      </c>
      <c r="AD1051" s="14">
        <f t="shared" si="119"/>
        <v>99.999999999999986</v>
      </c>
      <c r="AE1051" s="8">
        <v>0</v>
      </c>
      <c r="AF1051" s="8">
        <v>0</v>
      </c>
      <c r="AG1051" s="8">
        <v>0</v>
      </c>
      <c r="AH1051" s="8">
        <v>0</v>
      </c>
      <c r="AI1051" s="39" t="s">
        <v>1531</v>
      </c>
      <c r="AJ1051" s="7">
        <v>216</v>
      </c>
      <c r="AK1051" s="62">
        <v>1323</v>
      </c>
      <c r="AL1051" s="158"/>
      <c r="AM1051" s="85"/>
      <c r="AN1051" s="85"/>
      <c r="AO1051" s="85"/>
      <c r="AP1051" s="85"/>
      <c r="AQ1051" s="85"/>
      <c r="AR1051" s="85"/>
      <c r="AS1051" s="85"/>
      <c r="AT1051" s="205"/>
      <c r="AU1051" s="85"/>
      <c r="AV1051" s="196"/>
      <c r="AW1051" s="85"/>
      <c r="AX1051" s="85"/>
      <c r="AY1051" s="39">
        <v>0.02</v>
      </c>
      <c r="AZ1051" s="7">
        <v>200</v>
      </c>
      <c r="BA1051" s="62">
        <v>3.8</v>
      </c>
      <c r="BB1051" s="7">
        <v>2</v>
      </c>
      <c r="BC1051" s="7">
        <v>7.9</v>
      </c>
      <c r="BD1051" s="7"/>
      <c r="BE1051" s="7">
        <v>10.9</v>
      </c>
      <c r="BF1051" s="39"/>
      <c r="BG1051" s="7"/>
      <c r="BH1051" s="62"/>
      <c r="BI1051" s="7"/>
      <c r="BJ1051" s="32">
        <v>1</v>
      </c>
      <c r="BK1051" s="54"/>
    </row>
    <row r="1052" spans="1:63" s="6" customFormat="1" ht="23.25" customHeight="1" thickBot="1" x14ac:dyDescent="0.25">
      <c r="A1052" s="62">
        <v>1051</v>
      </c>
      <c r="B1052" s="222"/>
      <c r="C1052" s="222"/>
      <c r="D1052" s="224"/>
      <c r="E1052" s="13" t="s">
        <v>1682</v>
      </c>
      <c r="F1052" s="80">
        <f>11.5*100/14</f>
        <v>82.142857142857139</v>
      </c>
      <c r="G1052" s="81">
        <f t="shared" si="126"/>
        <v>10.714285714285714</v>
      </c>
      <c r="H1052" s="81">
        <v>0</v>
      </c>
      <c r="I1052" s="81">
        <v>0</v>
      </c>
      <c r="J1052" s="81">
        <v>0</v>
      </c>
      <c r="K1052" s="81">
        <v>0</v>
      </c>
      <c r="L1052" s="81">
        <v>0</v>
      </c>
      <c r="M1052" s="81">
        <v>0</v>
      </c>
      <c r="N1052" s="81">
        <v>0</v>
      </c>
      <c r="O1052" s="81">
        <v>0</v>
      </c>
      <c r="P1052" s="81">
        <v>0</v>
      </c>
      <c r="Q1052" s="81">
        <v>0</v>
      </c>
      <c r="R1052" s="81">
        <v>0</v>
      </c>
      <c r="S1052" s="82">
        <v>0</v>
      </c>
      <c r="T1052" s="81">
        <f>(1-0.25)*100/14</f>
        <v>5.3571428571428568</v>
      </c>
      <c r="U1052" s="81">
        <v>0</v>
      </c>
      <c r="V1052" s="81">
        <v>0</v>
      </c>
      <c r="W1052" s="81">
        <v>0</v>
      </c>
      <c r="X1052" s="81">
        <v>0</v>
      </c>
      <c r="Y1052" s="81">
        <v>0</v>
      </c>
      <c r="Z1052" s="81">
        <f>0.25*100/14</f>
        <v>1.7857142857142858</v>
      </c>
      <c r="AA1052" s="81">
        <v>0</v>
      </c>
      <c r="AB1052" s="81">
        <v>0</v>
      </c>
      <c r="AC1052" s="81">
        <v>0</v>
      </c>
      <c r="AD1052" s="83">
        <f t="shared" si="119"/>
        <v>100</v>
      </c>
      <c r="AE1052" s="81">
        <v>0</v>
      </c>
      <c r="AF1052" s="81">
        <v>0</v>
      </c>
      <c r="AG1052" s="81">
        <v>0</v>
      </c>
      <c r="AH1052" s="81">
        <v>0</v>
      </c>
      <c r="AI1052" s="79" t="s">
        <v>1531</v>
      </c>
      <c r="AJ1052" s="65">
        <v>216</v>
      </c>
      <c r="AK1052" s="78">
        <v>1323</v>
      </c>
      <c r="AL1052" s="200"/>
      <c r="AM1052" s="190"/>
      <c r="AN1052" s="190"/>
      <c r="AO1052" s="190"/>
      <c r="AP1052" s="190"/>
      <c r="AQ1052" s="190"/>
      <c r="AR1052" s="190"/>
      <c r="AS1052" s="190"/>
      <c r="AT1052" s="201"/>
      <c r="AU1052" s="190"/>
      <c r="AV1052" s="202"/>
      <c r="AW1052" s="190"/>
      <c r="AX1052" s="190"/>
      <c r="AY1052" s="79">
        <v>0.02</v>
      </c>
      <c r="AZ1052" s="65">
        <v>204</v>
      </c>
      <c r="BA1052" s="78">
        <v>4</v>
      </c>
      <c r="BB1052" s="65">
        <v>2</v>
      </c>
      <c r="BC1052" s="65">
        <v>6.8</v>
      </c>
      <c r="BD1052" s="65"/>
      <c r="BE1052" s="65">
        <v>13.4</v>
      </c>
      <c r="BF1052" s="79"/>
      <c r="BG1052" s="65"/>
      <c r="BH1052" s="78"/>
      <c r="BI1052" s="65"/>
      <c r="BJ1052" s="68">
        <v>1</v>
      </c>
      <c r="BK1052" s="13"/>
    </row>
    <row r="1053" spans="1:63" ht="23.25" customHeight="1" x14ac:dyDescent="0.2">
      <c r="A1053" s="7">
        <v>1052</v>
      </c>
      <c r="B1053" s="218">
        <v>947</v>
      </c>
      <c r="C1053" s="218" t="s">
        <v>1640</v>
      </c>
      <c r="D1053" s="225" t="s">
        <v>1402</v>
      </c>
      <c r="E1053" s="54" t="s">
        <v>1679</v>
      </c>
      <c r="F1053" s="16">
        <f>(1-0)*11.4*100/14</f>
        <v>81.428571428571431</v>
      </c>
      <c r="G1053" s="8">
        <v>0</v>
      </c>
      <c r="H1053" s="8">
        <f>1.6*100/14</f>
        <v>11.428571428571429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17">
        <v>0</v>
      </c>
      <c r="T1053" s="8">
        <f>1*100/14</f>
        <v>7.1428571428571432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14">
        <f t="shared" si="119"/>
        <v>100</v>
      </c>
      <c r="AE1053" s="8">
        <v>0</v>
      </c>
      <c r="AF1053" s="8">
        <v>0</v>
      </c>
      <c r="AG1053" s="8">
        <v>0</v>
      </c>
      <c r="AH1053" s="8">
        <v>0</v>
      </c>
      <c r="AI1053" s="39" t="s">
        <v>1531</v>
      </c>
      <c r="AJ1053" s="7">
        <v>360</v>
      </c>
      <c r="AK1053" s="62">
        <v>1170</v>
      </c>
      <c r="AL1053" s="158"/>
      <c r="AM1053" s="85"/>
      <c r="AN1053" s="85"/>
      <c r="AO1053" s="85"/>
      <c r="AP1053" s="85"/>
      <c r="AQ1053" s="85"/>
      <c r="AR1053" s="85"/>
      <c r="AS1053" s="85"/>
      <c r="AT1053" s="205"/>
      <c r="AU1053" s="85"/>
      <c r="AV1053" s="196"/>
      <c r="AW1053" s="85"/>
      <c r="AX1053" s="85"/>
      <c r="AY1053" s="39"/>
      <c r="AZ1053" s="7"/>
      <c r="BA1053" s="62"/>
      <c r="BB1053" s="7">
        <v>5</v>
      </c>
      <c r="BC1053" s="7">
        <v>2.1</v>
      </c>
      <c r="BD1053" s="7">
        <v>205.3</v>
      </c>
      <c r="BE1053" s="7">
        <v>47.6</v>
      </c>
      <c r="BF1053" s="39"/>
      <c r="BG1053" s="7"/>
      <c r="BH1053" s="62"/>
      <c r="BI1053" s="7"/>
      <c r="BJ1053" s="32">
        <v>1</v>
      </c>
      <c r="BK1053" s="54"/>
    </row>
    <row r="1054" spans="1:63" ht="23.25" customHeight="1" x14ac:dyDescent="0.2">
      <c r="A1054" s="62">
        <v>1053</v>
      </c>
      <c r="B1054" s="221"/>
      <c r="C1054" s="221"/>
      <c r="D1054" s="223"/>
      <c r="E1054" s="54" t="s">
        <v>1677</v>
      </c>
      <c r="F1054" s="16">
        <f>(1-0.04)*11.4*100/14</f>
        <v>78.171428571428564</v>
      </c>
      <c r="G1054" s="8">
        <v>0</v>
      </c>
      <c r="H1054" s="8">
        <f>1.6*100/14</f>
        <v>11.428571428571429</v>
      </c>
      <c r="I1054" s="8">
        <v>0</v>
      </c>
      <c r="J1054" s="8">
        <f>0.04*11.4*100/14</f>
        <v>3.2571428571428571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17">
        <v>0</v>
      </c>
      <c r="T1054" s="8">
        <f t="shared" ref="T1054:T1059" si="127">1*100/14</f>
        <v>7.1428571428571432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14">
        <f t="shared" si="119"/>
        <v>99.999999999999986</v>
      </c>
      <c r="AE1054" s="8">
        <v>0</v>
      </c>
      <c r="AF1054" s="8">
        <v>0</v>
      </c>
      <c r="AG1054" s="8">
        <v>0</v>
      </c>
      <c r="AH1054" s="8">
        <v>0</v>
      </c>
      <c r="AI1054" s="39" t="s">
        <v>1531</v>
      </c>
      <c r="AJ1054" s="7">
        <v>360</v>
      </c>
      <c r="AK1054" s="62">
        <v>1170</v>
      </c>
      <c r="AL1054" s="158"/>
      <c r="AM1054" s="85"/>
      <c r="AN1054" s="85"/>
      <c r="AO1054" s="85"/>
      <c r="AP1054" s="85"/>
      <c r="AQ1054" s="85"/>
      <c r="AR1054" s="85"/>
      <c r="AS1054" s="85"/>
      <c r="AT1054" s="205"/>
      <c r="AU1054" s="85"/>
      <c r="AV1054" s="196"/>
      <c r="AW1054" s="85"/>
      <c r="AX1054" s="85"/>
      <c r="AY1054" s="39"/>
      <c r="AZ1054" s="7"/>
      <c r="BA1054" s="62"/>
      <c r="BB1054" s="7">
        <v>5</v>
      </c>
      <c r="BC1054" s="7">
        <v>5.3</v>
      </c>
      <c r="BD1054" s="7">
        <v>250.75</v>
      </c>
      <c r="BE1054" s="7">
        <v>77.400000000000006</v>
      </c>
      <c r="BF1054" s="39"/>
      <c r="BG1054" s="7"/>
      <c r="BH1054" s="62"/>
      <c r="BI1054" s="7"/>
      <c r="BJ1054" s="32">
        <v>1</v>
      </c>
      <c r="BK1054" s="54"/>
    </row>
    <row r="1055" spans="1:63" ht="23.25" customHeight="1" x14ac:dyDescent="0.2">
      <c r="A1055" s="7">
        <v>1054</v>
      </c>
      <c r="B1055" s="221"/>
      <c r="C1055" s="221"/>
      <c r="D1055" s="223"/>
      <c r="E1055" s="54" t="s">
        <v>1678</v>
      </c>
      <c r="F1055" s="16">
        <f>(1-0.08)*11.4*100/14</f>
        <v>74.914285714285725</v>
      </c>
      <c r="G1055" s="8">
        <v>0</v>
      </c>
      <c r="H1055" s="8">
        <f>1.6*100/14</f>
        <v>11.428571428571429</v>
      </c>
      <c r="I1055" s="8">
        <v>0</v>
      </c>
      <c r="J1055" s="8">
        <f>0.08*11.4*100/14</f>
        <v>6.5142857142857142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17">
        <v>0</v>
      </c>
      <c r="T1055" s="8">
        <f t="shared" si="127"/>
        <v>7.1428571428571432</v>
      </c>
      <c r="U1055" s="8">
        <v>0</v>
      </c>
      <c r="V1055" s="8">
        <v>0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14">
        <f t="shared" si="119"/>
        <v>100.00000000000001</v>
      </c>
      <c r="AE1055" s="8">
        <v>0</v>
      </c>
      <c r="AF1055" s="8">
        <v>0</v>
      </c>
      <c r="AG1055" s="8">
        <v>0</v>
      </c>
      <c r="AH1055" s="8">
        <v>0</v>
      </c>
      <c r="AI1055" s="39" t="s">
        <v>1531</v>
      </c>
      <c r="AJ1055" s="7">
        <v>360</v>
      </c>
      <c r="AK1055" s="62">
        <v>1170</v>
      </c>
      <c r="AL1055" s="158"/>
      <c r="AM1055" s="85"/>
      <c r="AN1055" s="85"/>
      <c r="AO1055" s="85"/>
      <c r="AP1055" s="85"/>
      <c r="AQ1055" s="85"/>
      <c r="AR1055" s="85"/>
      <c r="AS1055" s="85"/>
      <c r="AT1055" s="205"/>
      <c r="AU1055" s="85"/>
      <c r="AV1055" s="196"/>
      <c r="AW1055" s="85"/>
      <c r="AX1055" s="85"/>
      <c r="AY1055" s="39"/>
      <c r="AZ1055" s="7"/>
      <c r="BA1055" s="62"/>
      <c r="BB1055" s="7">
        <v>5</v>
      </c>
      <c r="BC1055" s="7">
        <v>4.6399999999999997</v>
      </c>
      <c r="BD1055" s="7">
        <v>320.25</v>
      </c>
      <c r="BE1055" s="7">
        <v>97.7</v>
      </c>
      <c r="BF1055" s="39"/>
      <c r="BG1055" s="7"/>
      <c r="BH1055" s="62"/>
      <c r="BI1055" s="7"/>
      <c r="BJ1055" s="32">
        <v>1</v>
      </c>
      <c r="BK1055" s="54"/>
    </row>
    <row r="1056" spans="1:63" ht="23.25" customHeight="1" x14ac:dyDescent="0.2">
      <c r="A1056" s="62">
        <v>1055</v>
      </c>
      <c r="B1056" s="221"/>
      <c r="C1056" s="221"/>
      <c r="D1056" s="223"/>
      <c r="E1056" s="54" t="s">
        <v>1680</v>
      </c>
      <c r="F1056" s="16">
        <f>(1-0.12)*11.4*100/14</f>
        <v>71.657142857142858</v>
      </c>
      <c r="G1056" s="8">
        <v>0</v>
      </c>
      <c r="H1056" s="8">
        <f>1.6*100/14</f>
        <v>11.428571428571429</v>
      </c>
      <c r="I1056" s="8">
        <v>0</v>
      </c>
      <c r="J1056" s="8">
        <f>0.12*11.4*100/14</f>
        <v>9.7714285714285705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17">
        <v>0</v>
      </c>
      <c r="T1056" s="8">
        <f t="shared" si="127"/>
        <v>7.1428571428571432</v>
      </c>
      <c r="U1056" s="8">
        <v>0</v>
      </c>
      <c r="V1056" s="8">
        <v>0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  <c r="AB1056" s="8">
        <v>0</v>
      </c>
      <c r="AC1056" s="8">
        <v>0</v>
      </c>
      <c r="AD1056" s="14">
        <f t="shared" si="119"/>
        <v>100</v>
      </c>
      <c r="AE1056" s="8">
        <v>0</v>
      </c>
      <c r="AF1056" s="8">
        <v>0</v>
      </c>
      <c r="AG1056" s="8">
        <v>0</v>
      </c>
      <c r="AH1056" s="8">
        <v>0</v>
      </c>
      <c r="AI1056" s="39" t="s">
        <v>1531</v>
      </c>
      <c r="AJ1056" s="7">
        <v>360</v>
      </c>
      <c r="AK1056" s="62">
        <v>1170</v>
      </c>
      <c r="AL1056" s="158"/>
      <c r="AM1056" s="85"/>
      <c r="AN1056" s="85"/>
      <c r="AO1056" s="85"/>
      <c r="AP1056" s="85"/>
      <c r="AQ1056" s="85"/>
      <c r="AR1056" s="85"/>
      <c r="AS1056" s="85"/>
      <c r="AT1056" s="205"/>
      <c r="AU1056" s="85"/>
      <c r="AV1056" s="196"/>
      <c r="AW1056" s="85"/>
      <c r="AX1056" s="85"/>
      <c r="AY1056" s="39"/>
      <c r="AZ1056" s="7"/>
      <c r="BA1056" s="62"/>
      <c r="BB1056" s="7">
        <v>5</v>
      </c>
      <c r="BC1056" s="7">
        <v>4.8</v>
      </c>
      <c r="BD1056" s="7">
        <v>369.3</v>
      </c>
      <c r="BE1056" s="7"/>
      <c r="BF1056" s="39"/>
      <c r="BG1056" s="7"/>
      <c r="BH1056" s="62"/>
      <c r="BI1056" s="7"/>
      <c r="BJ1056" s="32">
        <v>1</v>
      </c>
      <c r="BK1056" s="54"/>
    </row>
    <row r="1057" spans="1:63" ht="23.25" customHeight="1" x14ac:dyDescent="0.2">
      <c r="A1057" s="7">
        <v>1056</v>
      </c>
      <c r="B1057" s="221"/>
      <c r="C1057" s="221"/>
      <c r="D1057" s="223" t="s">
        <v>1403</v>
      </c>
      <c r="E1057" s="54" t="s">
        <v>1679</v>
      </c>
      <c r="F1057" s="16">
        <f>(1-0)*11.4*100/14</f>
        <v>81.428571428571431</v>
      </c>
      <c r="G1057" s="8">
        <f>1.6*100/14</f>
        <v>11.428571428571429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17">
        <v>0</v>
      </c>
      <c r="T1057" s="8">
        <f t="shared" si="127"/>
        <v>7.1428571428571432</v>
      </c>
      <c r="U1057" s="8">
        <v>0</v>
      </c>
      <c r="V1057" s="8">
        <v>0</v>
      </c>
      <c r="W1057" s="8">
        <v>0</v>
      </c>
      <c r="X1057" s="8">
        <v>0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  <c r="AD1057" s="14">
        <f t="shared" si="119"/>
        <v>100</v>
      </c>
      <c r="AE1057" s="8">
        <v>0</v>
      </c>
      <c r="AF1057" s="8">
        <v>0</v>
      </c>
      <c r="AG1057" s="8">
        <v>0</v>
      </c>
      <c r="AH1057" s="8">
        <v>0</v>
      </c>
      <c r="AI1057" s="39" t="s">
        <v>1531</v>
      </c>
      <c r="AJ1057" s="7">
        <v>360</v>
      </c>
      <c r="AK1057" s="62">
        <v>1170</v>
      </c>
      <c r="AL1057" s="158"/>
      <c r="AM1057" s="85"/>
      <c r="AN1057" s="85"/>
      <c r="AO1057" s="85"/>
      <c r="AP1057" s="85"/>
      <c r="AQ1057" s="85"/>
      <c r="AR1057" s="85"/>
      <c r="AS1057" s="85"/>
      <c r="AT1057" s="205"/>
      <c r="AU1057" s="85"/>
      <c r="AV1057" s="196"/>
      <c r="AW1057" s="85"/>
      <c r="AX1057" s="85"/>
      <c r="AY1057" s="39"/>
      <c r="AZ1057" s="7"/>
      <c r="BA1057" s="62"/>
      <c r="BB1057" s="7">
        <v>5</v>
      </c>
      <c r="BC1057" s="7">
        <v>17.579999999999998</v>
      </c>
      <c r="BD1057" s="7">
        <v>201.7</v>
      </c>
      <c r="BE1057" s="7">
        <v>22.67</v>
      </c>
      <c r="BF1057" s="39"/>
      <c r="BG1057" s="7"/>
      <c r="BH1057" s="62"/>
      <c r="BI1057" s="7"/>
      <c r="BJ1057" s="32">
        <v>1</v>
      </c>
      <c r="BK1057" s="54"/>
    </row>
    <row r="1058" spans="1:63" ht="23.25" customHeight="1" x14ac:dyDescent="0.2">
      <c r="A1058" s="62">
        <v>1057</v>
      </c>
      <c r="B1058" s="221"/>
      <c r="C1058" s="221"/>
      <c r="D1058" s="223"/>
      <c r="E1058" s="54" t="s">
        <v>1677</v>
      </c>
      <c r="F1058" s="16">
        <f>(1-0.04)*11.4*100/14</f>
        <v>78.171428571428564</v>
      </c>
      <c r="G1058" s="8">
        <f>1.6*100/14</f>
        <v>11.428571428571429</v>
      </c>
      <c r="H1058" s="8">
        <v>0</v>
      </c>
      <c r="I1058" s="8">
        <v>0</v>
      </c>
      <c r="J1058" s="8">
        <f>0.04*11.4*100/14</f>
        <v>3.2571428571428571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17">
        <v>0</v>
      </c>
      <c r="T1058" s="8">
        <f t="shared" si="127"/>
        <v>7.1428571428571432</v>
      </c>
      <c r="U1058" s="8">
        <v>0</v>
      </c>
      <c r="V1058" s="8">
        <v>0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14">
        <f t="shared" si="119"/>
        <v>99.999999999999986</v>
      </c>
      <c r="AE1058" s="8">
        <v>0</v>
      </c>
      <c r="AF1058" s="8">
        <v>0</v>
      </c>
      <c r="AG1058" s="8">
        <v>0</v>
      </c>
      <c r="AH1058" s="8">
        <v>0</v>
      </c>
      <c r="AI1058" s="39" t="s">
        <v>1531</v>
      </c>
      <c r="AJ1058" s="7">
        <v>360</v>
      </c>
      <c r="AK1058" s="62">
        <v>1170</v>
      </c>
      <c r="AL1058" s="158"/>
      <c r="AM1058" s="85"/>
      <c r="AN1058" s="85"/>
      <c r="AO1058" s="85"/>
      <c r="AP1058" s="85"/>
      <c r="AQ1058" s="85"/>
      <c r="AR1058" s="85"/>
      <c r="AS1058" s="85"/>
      <c r="AT1058" s="205"/>
      <c r="AU1058" s="85"/>
      <c r="AV1058" s="196"/>
      <c r="AW1058" s="85"/>
      <c r="AX1058" s="85"/>
      <c r="AY1058" s="39"/>
      <c r="AZ1058" s="7"/>
      <c r="BA1058" s="62"/>
      <c r="BB1058" s="7">
        <v>5</v>
      </c>
      <c r="BC1058" s="7">
        <v>9.06</v>
      </c>
      <c r="BD1058" s="7">
        <v>252.5</v>
      </c>
      <c r="BE1058" s="7">
        <v>39</v>
      </c>
      <c r="BF1058" s="39"/>
      <c r="BG1058" s="7"/>
      <c r="BH1058" s="62"/>
      <c r="BI1058" s="7"/>
      <c r="BJ1058" s="32">
        <v>1</v>
      </c>
      <c r="BK1058" s="54"/>
    </row>
    <row r="1059" spans="1:63" ht="23.25" customHeight="1" thickBot="1" x14ac:dyDescent="0.25">
      <c r="A1059" s="7">
        <v>1058</v>
      </c>
      <c r="B1059" s="222"/>
      <c r="C1059" s="222"/>
      <c r="D1059" s="224"/>
      <c r="E1059" s="54" t="s">
        <v>1678</v>
      </c>
      <c r="F1059" s="16">
        <f>(1-0.08)*11.4*100/14</f>
        <v>74.914285714285725</v>
      </c>
      <c r="G1059" s="8">
        <f>1.6*100/14</f>
        <v>11.428571428571429</v>
      </c>
      <c r="H1059" s="8">
        <v>0</v>
      </c>
      <c r="I1059" s="8">
        <v>0</v>
      </c>
      <c r="J1059" s="8">
        <f>0.08*11.4*100/14</f>
        <v>6.5142857142857142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17">
        <v>0</v>
      </c>
      <c r="T1059" s="8">
        <f t="shared" si="127"/>
        <v>7.1428571428571432</v>
      </c>
      <c r="U1059" s="8">
        <v>0</v>
      </c>
      <c r="V1059" s="8">
        <v>0</v>
      </c>
      <c r="W1059" s="8">
        <v>0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  <c r="AD1059" s="14">
        <f t="shared" si="119"/>
        <v>100.00000000000001</v>
      </c>
      <c r="AE1059" s="8">
        <v>0</v>
      </c>
      <c r="AF1059" s="8">
        <v>0</v>
      </c>
      <c r="AG1059" s="8">
        <v>0</v>
      </c>
      <c r="AH1059" s="8">
        <v>0</v>
      </c>
      <c r="AI1059" s="39" t="s">
        <v>1531</v>
      </c>
      <c r="AJ1059" s="7">
        <v>360</v>
      </c>
      <c r="AK1059" s="62">
        <v>1170</v>
      </c>
      <c r="AL1059" s="158"/>
      <c r="AM1059" s="85"/>
      <c r="AN1059" s="85"/>
      <c r="AO1059" s="85"/>
      <c r="AP1059" s="85"/>
      <c r="AQ1059" s="85"/>
      <c r="AR1059" s="85"/>
      <c r="AS1059" s="85"/>
      <c r="AT1059" s="205"/>
      <c r="AU1059" s="85"/>
      <c r="AV1059" s="196"/>
      <c r="AW1059" s="85"/>
      <c r="AX1059" s="85"/>
      <c r="AY1059" s="39"/>
      <c r="AZ1059" s="7"/>
      <c r="BA1059" s="62"/>
      <c r="BB1059" s="7">
        <v>5</v>
      </c>
      <c r="BC1059" s="7">
        <v>5.0999999999999996</v>
      </c>
      <c r="BD1059" s="7">
        <v>314.60000000000002</v>
      </c>
      <c r="BE1059" s="7"/>
      <c r="BF1059" s="39"/>
      <c r="BG1059" s="7"/>
      <c r="BH1059" s="62"/>
      <c r="BI1059" s="7"/>
      <c r="BJ1059" s="32">
        <v>1</v>
      </c>
      <c r="BK1059" s="54"/>
    </row>
    <row r="1060" spans="1:63" s="19" customFormat="1" ht="23.25" customHeight="1" thickBot="1" x14ac:dyDescent="0.25">
      <c r="A1060" s="62">
        <v>1059</v>
      </c>
      <c r="B1060" s="108">
        <v>948</v>
      </c>
      <c r="C1060" s="108" t="s">
        <v>1641</v>
      </c>
      <c r="D1060" s="21" t="s">
        <v>1404</v>
      </c>
      <c r="E1060" s="21"/>
      <c r="F1060" s="99">
        <f>0.88*13*100/14</f>
        <v>81.714285714285708</v>
      </c>
      <c r="G1060" s="100">
        <f>0.065*13*100/14</f>
        <v>6.0357142857142856</v>
      </c>
      <c r="H1060" s="100">
        <v>0</v>
      </c>
      <c r="I1060" s="100">
        <v>0</v>
      </c>
      <c r="J1060" s="100">
        <f>0.055*13*100/14</f>
        <v>5.1071428571428568</v>
      </c>
      <c r="K1060" s="100">
        <v>0</v>
      </c>
      <c r="L1060" s="100">
        <v>0</v>
      </c>
      <c r="M1060" s="100">
        <v>0</v>
      </c>
      <c r="N1060" s="100">
        <v>0</v>
      </c>
      <c r="O1060" s="100">
        <v>0</v>
      </c>
      <c r="P1060" s="100">
        <v>0</v>
      </c>
      <c r="Q1060" s="100">
        <v>0</v>
      </c>
      <c r="R1060" s="100">
        <v>0</v>
      </c>
      <c r="S1060" s="101">
        <v>0</v>
      </c>
      <c r="T1060" s="100">
        <f>1*100/14</f>
        <v>7.1428571428571432</v>
      </c>
      <c r="U1060" s="100">
        <v>0</v>
      </c>
      <c r="V1060" s="100">
        <v>0</v>
      </c>
      <c r="W1060" s="100">
        <v>0</v>
      </c>
      <c r="X1060" s="100">
        <v>0</v>
      </c>
      <c r="Y1060" s="100">
        <v>0</v>
      </c>
      <c r="Z1060" s="100">
        <v>0</v>
      </c>
      <c r="AA1060" s="100">
        <v>0</v>
      </c>
      <c r="AB1060" s="100">
        <v>0</v>
      </c>
      <c r="AC1060" s="100">
        <v>0</v>
      </c>
      <c r="AD1060" s="102">
        <f t="shared" si="119"/>
        <v>100</v>
      </c>
      <c r="AE1060" s="100">
        <v>0</v>
      </c>
      <c r="AF1060" s="100">
        <v>0</v>
      </c>
      <c r="AG1060" s="100">
        <v>0</v>
      </c>
      <c r="AH1060" s="100">
        <v>0</v>
      </c>
      <c r="AI1060" s="120" t="s">
        <v>1531</v>
      </c>
      <c r="AJ1060" s="98">
        <v>264</v>
      </c>
      <c r="AK1060" s="105">
        <v>1323</v>
      </c>
      <c r="AL1060" s="206"/>
      <c r="AM1060" s="194"/>
      <c r="AN1060" s="194"/>
      <c r="AO1060" s="194"/>
      <c r="AP1060" s="194"/>
      <c r="AQ1060" s="194"/>
      <c r="AR1060" s="194"/>
      <c r="AS1060" s="194"/>
      <c r="AT1060" s="207"/>
      <c r="AU1060" s="194"/>
      <c r="AV1060" s="208"/>
      <c r="AW1060" s="194"/>
      <c r="AX1060" s="194"/>
      <c r="AY1060" s="120">
        <v>0.1</v>
      </c>
      <c r="AZ1060" s="98">
        <v>274</v>
      </c>
      <c r="BA1060" s="105"/>
      <c r="BB1060" s="98" t="s">
        <v>1405</v>
      </c>
      <c r="BC1060" s="98" t="s">
        <v>1406</v>
      </c>
      <c r="BD1060" s="98" t="s">
        <v>1407</v>
      </c>
      <c r="BE1060" s="98" t="s">
        <v>1408</v>
      </c>
      <c r="BF1060" s="120"/>
      <c r="BG1060" s="98"/>
      <c r="BH1060" s="105"/>
      <c r="BI1060" s="98"/>
      <c r="BJ1060" s="70">
        <v>1</v>
      </c>
      <c r="BK1060" s="21"/>
    </row>
    <row r="1061" spans="1:63" ht="23.25" customHeight="1" x14ac:dyDescent="0.2">
      <c r="A1061" s="7">
        <v>1060</v>
      </c>
      <c r="B1061" s="218">
        <v>950</v>
      </c>
      <c r="C1061" s="219" t="s">
        <v>1642</v>
      </c>
      <c r="D1061" s="223" t="s">
        <v>1325</v>
      </c>
      <c r="E1061" s="54"/>
      <c r="F1061" s="16">
        <f>11.4*100/14.1</f>
        <v>80.851063829787236</v>
      </c>
      <c r="G1061" s="8">
        <f>1.6*100/14.1</f>
        <v>11.347517730496454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17">
        <v>0</v>
      </c>
      <c r="T1061" s="8">
        <f>0.6*100/14.1</f>
        <v>4.2553191489361701</v>
      </c>
      <c r="U1061" s="8">
        <v>0</v>
      </c>
      <c r="V1061" s="8">
        <v>0</v>
      </c>
      <c r="W1061" s="8">
        <f>0.5*100/14.1</f>
        <v>3.5460992907801421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  <c r="AD1061" s="14">
        <f t="shared" si="119"/>
        <v>100</v>
      </c>
      <c r="AE1061" s="8">
        <v>0</v>
      </c>
      <c r="AF1061" s="8">
        <v>0</v>
      </c>
      <c r="AG1061" s="8">
        <v>0</v>
      </c>
      <c r="AH1061" s="8">
        <v>0</v>
      </c>
      <c r="AI1061" s="39" t="s">
        <v>1531</v>
      </c>
      <c r="AJ1061" s="7">
        <v>360</v>
      </c>
      <c r="AK1061" s="62">
        <v>1373</v>
      </c>
      <c r="AL1061" s="158"/>
      <c r="AM1061" s="85"/>
      <c r="AN1061" s="85"/>
      <c r="AO1061" s="85"/>
      <c r="AP1061" s="85"/>
      <c r="AQ1061" s="85"/>
      <c r="AR1061" s="85"/>
      <c r="AS1061" s="85"/>
      <c r="AT1061" s="205"/>
      <c r="AU1061" s="85"/>
      <c r="AV1061" s="196"/>
      <c r="AW1061" s="85"/>
      <c r="AX1061" s="85"/>
      <c r="AY1061" s="39">
        <v>0.01</v>
      </c>
      <c r="AZ1061" s="7">
        <v>190</v>
      </c>
      <c r="BA1061" s="62">
        <v>5</v>
      </c>
      <c r="BB1061" s="7">
        <v>5</v>
      </c>
      <c r="BC1061" s="7">
        <v>23.8</v>
      </c>
      <c r="BD1061" s="7">
        <v>193.6</v>
      </c>
      <c r="BE1061" s="7">
        <v>21.5</v>
      </c>
      <c r="BF1061" s="39"/>
      <c r="BG1061" s="7"/>
      <c r="BH1061" s="62"/>
      <c r="BI1061" s="7"/>
      <c r="BJ1061" s="32">
        <v>1</v>
      </c>
      <c r="BK1061" s="54"/>
    </row>
    <row r="1062" spans="1:63" ht="23.25" customHeight="1" thickBot="1" x14ac:dyDescent="0.25">
      <c r="A1062" s="62">
        <v>1061</v>
      </c>
      <c r="B1062" s="222"/>
      <c r="C1062" s="221"/>
      <c r="D1062" s="223"/>
      <c r="E1062" s="54"/>
      <c r="F1062" s="16">
        <f>11.4*100/14.1</f>
        <v>80.851063829787236</v>
      </c>
      <c r="G1062" s="8">
        <f>1.6*100/14.1</f>
        <v>11.347517730496454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17">
        <v>0</v>
      </c>
      <c r="T1062" s="8">
        <f>0.6*100/14.1</f>
        <v>4.2553191489361701</v>
      </c>
      <c r="U1062" s="8">
        <v>0</v>
      </c>
      <c r="V1062" s="8">
        <v>0</v>
      </c>
      <c r="W1062" s="8">
        <f>0.5*100/14.1</f>
        <v>3.5460992907801421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14">
        <f t="shared" si="119"/>
        <v>100</v>
      </c>
      <c r="AE1062" s="8">
        <v>0</v>
      </c>
      <c r="AF1062" s="8">
        <v>0</v>
      </c>
      <c r="AG1062" s="8">
        <v>0</v>
      </c>
      <c r="AH1062" s="8">
        <v>0</v>
      </c>
      <c r="AI1062" s="39" t="s">
        <v>1529</v>
      </c>
      <c r="AJ1062" s="7">
        <v>4</v>
      </c>
      <c r="AK1062" s="62">
        <v>1373</v>
      </c>
      <c r="AL1062" s="158"/>
      <c r="AM1062" s="85"/>
      <c r="AN1062" s="85"/>
      <c r="AO1062" s="85"/>
      <c r="AP1062" s="85"/>
      <c r="AQ1062" s="85"/>
      <c r="AR1062" s="85"/>
      <c r="AS1062" s="85"/>
      <c r="AT1062" s="205"/>
      <c r="AU1062" s="85"/>
      <c r="AV1062" s="196"/>
      <c r="AW1062" s="85"/>
      <c r="AX1062" s="85"/>
      <c r="AY1062" s="39">
        <v>0.01</v>
      </c>
      <c r="AZ1062" s="7">
        <v>192</v>
      </c>
      <c r="BA1062" s="62">
        <v>3.8</v>
      </c>
      <c r="BB1062" s="7">
        <v>5</v>
      </c>
      <c r="BC1062" s="7">
        <v>21.8</v>
      </c>
      <c r="BD1062" s="7">
        <v>195</v>
      </c>
      <c r="BE1062" s="7">
        <v>21.1</v>
      </c>
      <c r="BF1062" s="39"/>
      <c r="BG1062" s="7"/>
      <c r="BH1062" s="62"/>
      <c r="BI1062" s="7"/>
      <c r="BJ1062" s="32">
        <v>1</v>
      </c>
      <c r="BK1062" s="54"/>
    </row>
    <row r="1063" spans="1:63" s="150" customFormat="1" ht="23.25" customHeight="1" x14ac:dyDescent="0.2">
      <c r="A1063" s="7">
        <v>1062</v>
      </c>
      <c r="B1063" s="232" t="s">
        <v>1587</v>
      </c>
      <c r="C1063" s="232" t="s">
        <v>1643</v>
      </c>
      <c r="D1063" s="276" t="s">
        <v>1515</v>
      </c>
      <c r="E1063" s="147"/>
      <c r="F1063" s="154">
        <f t="shared" ref="F1063:F1064" si="128">11.6*100/14</f>
        <v>82.857142857142861</v>
      </c>
      <c r="G1063" s="124">
        <f t="shared" ref="G1063:G1066" si="129">1.4*100/14</f>
        <v>10</v>
      </c>
      <c r="H1063" s="124">
        <v>0</v>
      </c>
      <c r="I1063" s="124">
        <v>0</v>
      </c>
      <c r="J1063" s="124">
        <v>0</v>
      </c>
      <c r="K1063" s="124">
        <v>0</v>
      </c>
      <c r="L1063" s="124">
        <v>0</v>
      </c>
      <c r="M1063" s="124">
        <v>0</v>
      </c>
      <c r="N1063" s="124">
        <v>0</v>
      </c>
      <c r="O1063" s="88">
        <v>0</v>
      </c>
      <c r="P1063" s="124">
        <v>0</v>
      </c>
      <c r="Q1063" s="124">
        <v>0</v>
      </c>
      <c r="R1063" s="124">
        <v>0</v>
      </c>
      <c r="S1063" s="125">
        <v>0</v>
      </c>
      <c r="T1063" s="124">
        <f t="shared" ref="T1063:T1067" si="130">1*100/14</f>
        <v>7.1428571428571432</v>
      </c>
      <c r="U1063" s="124">
        <v>0</v>
      </c>
      <c r="V1063" s="124">
        <v>0</v>
      </c>
      <c r="W1063" s="124">
        <v>0</v>
      </c>
      <c r="X1063" s="124">
        <v>0</v>
      </c>
      <c r="Y1063" s="124">
        <v>0</v>
      </c>
      <c r="Z1063" s="124">
        <v>0</v>
      </c>
      <c r="AA1063" s="124">
        <v>0</v>
      </c>
      <c r="AB1063" s="88">
        <v>0</v>
      </c>
      <c r="AC1063" s="124">
        <v>0</v>
      </c>
      <c r="AD1063" s="114">
        <f t="shared" ref="AD1063:AD1081" si="131">SUM(F1063:AC1063)</f>
        <v>100</v>
      </c>
      <c r="AE1063" s="124">
        <v>0</v>
      </c>
      <c r="AF1063" s="124">
        <v>0</v>
      </c>
      <c r="AG1063" s="124">
        <v>0</v>
      </c>
      <c r="AH1063" s="124">
        <v>0</v>
      </c>
      <c r="AI1063" s="140" t="s">
        <v>1527</v>
      </c>
      <c r="AJ1063" s="141">
        <v>5</v>
      </c>
      <c r="AK1063" s="142">
        <v>1323</v>
      </c>
      <c r="AL1063" s="197"/>
      <c r="AM1063" s="189"/>
      <c r="AN1063" s="189"/>
      <c r="AO1063" s="189"/>
      <c r="AP1063" s="189"/>
      <c r="AQ1063" s="189"/>
      <c r="AR1063" s="189"/>
      <c r="AS1063" s="189"/>
      <c r="AT1063" s="198"/>
      <c r="AU1063" s="189"/>
      <c r="AV1063" s="199"/>
      <c r="AW1063" s="189"/>
      <c r="AX1063" s="189"/>
      <c r="AY1063" s="140">
        <v>0.01</v>
      </c>
      <c r="AZ1063" s="141">
        <v>199</v>
      </c>
      <c r="BA1063" s="142">
        <v>0</v>
      </c>
      <c r="BB1063" s="148" t="s">
        <v>1195</v>
      </c>
      <c r="BC1063" s="148" t="s">
        <v>1410</v>
      </c>
      <c r="BD1063" s="148" t="s">
        <v>1411</v>
      </c>
      <c r="BE1063" s="148" t="s">
        <v>1412</v>
      </c>
      <c r="BF1063" s="140"/>
      <c r="BG1063" s="141"/>
      <c r="BH1063" s="142"/>
      <c r="BI1063" s="141"/>
      <c r="BJ1063" s="164">
        <v>1</v>
      </c>
      <c r="BK1063" s="149"/>
    </row>
    <row r="1064" spans="1:63" s="146" customFormat="1" ht="23.25" customHeight="1" x14ac:dyDescent="0.2">
      <c r="A1064" s="62">
        <v>1063</v>
      </c>
      <c r="B1064" s="233"/>
      <c r="C1064" s="233"/>
      <c r="D1064" s="274"/>
      <c r="E1064" s="117"/>
      <c r="F1064" s="71">
        <f t="shared" si="128"/>
        <v>82.857142857142861</v>
      </c>
      <c r="G1064" s="72">
        <f t="shared" si="129"/>
        <v>10</v>
      </c>
      <c r="H1064" s="72">
        <v>0</v>
      </c>
      <c r="I1064" s="72">
        <v>0</v>
      </c>
      <c r="J1064" s="72">
        <v>0</v>
      </c>
      <c r="K1064" s="72">
        <v>0</v>
      </c>
      <c r="L1064" s="72">
        <v>0</v>
      </c>
      <c r="M1064" s="72">
        <v>0</v>
      </c>
      <c r="N1064" s="72">
        <v>0</v>
      </c>
      <c r="O1064" s="8">
        <v>0</v>
      </c>
      <c r="P1064" s="72">
        <v>0</v>
      </c>
      <c r="Q1064" s="72">
        <v>0</v>
      </c>
      <c r="R1064" s="72">
        <v>0</v>
      </c>
      <c r="S1064" s="73">
        <v>0</v>
      </c>
      <c r="T1064" s="72">
        <f t="shared" si="130"/>
        <v>7.1428571428571432</v>
      </c>
      <c r="U1064" s="72">
        <v>0</v>
      </c>
      <c r="V1064" s="72">
        <v>0</v>
      </c>
      <c r="W1064" s="72">
        <v>0</v>
      </c>
      <c r="X1064" s="72">
        <v>0</v>
      </c>
      <c r="Y1064" s="72">
        <v>0</v>
      </c>
      <c r="Z1064" s="72">
        <v>0</v>
      </c>
      <c r="AA1064" s="72">
        <v>0</v>
      </c>
      <c r="AB1064" s="8">
        <v>0</v>
      </c>
      <c r="AC1064" s="72">
        <v>0</v>
      </c>
      <c r="AD1064" s="74">
        <f t="shared" si="131"/>
        <v>100</v>
      </c>
      <c r="AE1064" s="72">
        <v>0</v>
      </c>
      <c r="AF1064" s="72">
        <v>0</v>
      </c>
      <c r="AG1064" s="72">
        <v>0</v>
      </c>
      <c r="AH1064" s="72">
        <v>0</v>
      </c>
      <c r="AI1064" s="133" t="s">
        <v>1527</v>
      </c>
      <c r="AJ1064" s="134">
        <v>12</v>
      </c>
      <c r="AK1064" s="135">
        <v>1323</v>
      </c>
      <c r="AL1064" s="158"/>
      <c r="AM1064" s="85"/>
      <c r="AN1064" s="85"/>
      <c r="AO1064" s="85"/>
      <c r="AP1064" s="85"/>
      <c r="AQ1064" s="85"/>
      <c r="AR1064" s="85"/>
      <c r="AS1064" s="85"/>
      <c r="AT1064" s="205"/>
      <c r="AU1064" s="85"/>
      <c r="AV1064" s="196"/>
      <c r="AW1064" s="85"/>
      <c r="AX1064" s="85"/>
      <c r="AY1064" s="133">
        <v>0.01</v>
      </c>
      <c r="AZ1064" s="134">
        <v>202</v>
      </c>
      <c r="BA1064" s="135">
        <v>0</v>
      </c>
      <c r="BB1064" s="144" t="s">
        <v>1195</v>
      </c>
      <c r="BC1064" s="144" t="s">
        <v>1957</v>
      </c>
      <c r="BD1064" s="195" t="s">
        <v>1413</v>
      </c>
      <c r="BE1064" s="144" t="s">
        <v>1414</v>
      </c>
      <c r="BF1064" s="133"/>
      <c r="BG1064" s="134"/>
      <c r="BH1064" s="135"/>
      <c r="BI1064" s="134"/>
      <c r="BJ1064" s="121">
        <v>1</v>
      </c>
      <c r="BK1064" s="145"/>
    </row>
    <row r="1065" spans="1:63" s="146" customFormat="1" ht="23.25" customHeight="1" x14ac:dyDescent="0.2">
      <c r="A1065" s="7">
        <v>1064</v>
      </c>
      <c r="B1065" s="233"/>
      <c r="C1065" s="233"/>
      <c r="D1065" s="277" t="s">
        <v>1660</v>
      </c>
      <c r="E1065" s="117" t="s">
        <v>1662</v>
      </c>
      <c r="F1065" s="71">
        <f>(11.6-0.1)*100/14</f>
        <v>82.142857142857139</v>
      </c>
      <c r="G1065" s="72">
        <f t="shared" si="129"/>
        <v>10</v>
      </c>
      <c r="H1065" s="72">
        <v>0</v>
      </c>
      <c r="I1065" s="72">
        <v>0</v>
      </c>
      <c r="J1065" s="72">
        <v>0</v>
      </c>
      <c r="K1065" s="72">
        <v>0</v>
      </c>
      <c r="L1065" s="72">
        <v>0</v>
      </c>
      <c r="M1065" s="72">
        <v>0</v>
      </c>
      <c r="N1065" s="72">
        <v>0</v>
      </c>
      <c r="O1065" s="8">
        <v>0</v>
      </c>
      <c r="P1065" s="72">
        <f>0.1*100/14</f>
        <v>0.7142857142857143</v>
      </c>
      <c r="Q1065" s="72">
        <v>0</v>
      </c>
      <c r="R1065" s="72">
        <v>0</v>
      </c>
      <c r="S1065" s="73">
        <v>0</v>
      </c>
      <c r="T1065" s="72">
        <f t="shared" si="130"/>
        <v>7.1428571428571432</v>
      </c>
      <c r="U1065" s="72">
        <v>0</v>
      </c>
      <c r="V1065" s="72">
        <v>0</v>
      </c>
      <c r="W1065" s="72">
        <v>0</v>
      </c>
      <c r="X1065" s="72">
        <v>0</v>
      </c>
      <c r="Y1065" s="72">
        <v>0</v>
      </c>
      <c r="Z1065" s="72">
        <v>0</v>
      </c>
      <c r="AA1065" s="72">
        <v>0</v>
      </c>
      <c r="AB1065" s="8">
        <v>0</v>
      </c>
      <c r="AC1065" s="72">
        <v>0</v>
      </c>
      <c r="AD1065" s="74">
        <f t="shared" si="131"/>
        <v>99.999999999999986</v>
      </c>
      <c r="AE1065" s="72">
        <v>0</v>
      </c>
      <c r="AF1065" s="72">
        <v>0</v>
      </c>
      <c r="AG1065" s="72">
        <v>0</v>
      </c>
      <c r="AH1065" s="72">
        <v>0</v>
      </c>
      <c r="AI1065" s="133" t="s">
        <v>1527</v>
      </c>
      <c r="AJ1065" s="134">
        <v>12</v>
      </c>
      <c r="AK1065" s="135">
        <v>1323</v>
      </c>
      <c r="AL1065" s="158"/>
      <c r="AM1065" s="85"/>
      <c r="AN1065" s="85"/>
      <c r="AO1065" s="85"/>
      <c r="AP1065" s="85"/>
      <c r="AQ1065" s="85"/>
      <c r="AR1065" s="85"/>
      <c r="AS1065" s="85"/>
      <c r="AT1065" s="205"/>
      <c r="AU1065" s="85"/>
      <c r="AV1065" s="196"/>
      <c r="AW1065" s="85"/>
      <c r="AX1065" s="85"/>
      <c r="AY1065" s="133"/>
      <c r="AZ1065" s="134"/>
      <c r="BA1065" s="135"/>
      <c r="BB1065" s="134">
        <v>2</v>
      </c>
      <c r="BC1065" s="134">
        <v>16.100000000000001</v>
      </c>
      <c r="BD1065" s="134">
        <v>188.3</v>
      </c>
      <c r="BE1065" s="134">
        <v>10.6</v>
      </c>
      <c r="BF1065" s="133"/>
      <c r="BG1065" s="134"/>
      <c r="BH1065" s="135"/>
      <c r="BI1065" s="134"/>
      <c r="BJ1065" s="121">
        <v>1</v>
      </c>
      <c r="BK1065" s="145"/>
    </row>
    <row r="1066" spans="1:63" s="152" customFormat="1" ht="23.25" customHeight="1" thickBot="1" x14ac:dyDescent="0.25">
      <c r="A1066" s="62">
        <v>1065</v>
      </c>
      <c r="B1066" s="234"/>
      <c r="C1066" s="234"/>
      <c r="D1066" s="275"/>
      <c r="E1066" s="143" t="s">
        <v>1663</v>
      </c>
      <c r="F1066" s="155">
        <f>(11.6-0.2)*100/14</f>
        <v>81.428571428571431</v>
      </c>
      <c r="G1066" s="128">
        <f t="shared" si="129"/>
        <v>10</v>
      </c>
      <c r="H1066" s="128">
        <v>0</v>
      </c>
      <c r="I1066" s="128">
        <v>0</v>
      </c>
      <c r="J1066" s="128">
        <v>0</v>
      </c>
      <c r="K1066" s="128">
        <v>0</v>
      </c>
      <c r="L1066" s="128">
        <v>0</v>
      </c>
      <c r="M1066" s="128">
        <v>0</v>
      </c>
      <c r="N1066" s="128">
        <v>0</v>
      </c>
      <c r="O1066" s="81">
        <v>0</v>
      </c>
      <c r="P1066" s="128">
        <f>0.2*100/14</f>
        <v>1.4285714285714286</v>
      </c>
      <c r="Q1066" s="128">
        <v>0</v>
      </c>
      <c r="R1066" s="128">
        <v>0</v>
      </c>
      <c r="S1066" s="129">
        <v>0</v>
      </c>
      <c r="T1066" s="128">
        <f t="shared" si="130"/>
        <v>7.1428571428571432</v>
      </c>
      <c r="U1066" s="128">
        <v>0</v>
      </c>
      <c r="V1066" s="128">
        <v>0</v>
      </c>
      <c r="W1066" s="128">
        <v>0</v>
      </c>
      <c r="X1066" s="128">
        <v>0</v>
      </c>
      <c r="Y1066" s="128">
        <v>0</v>
      </c>
      <c r="Z1066" s="128">
        <v>0</v>
      </c>
      <c r="AA1066" s="128">
        <v>0</v>
      </c>
      <c r="AB1066" s="81">
        <v>0</v>
      </c>
      <c r="AC1066" s="128">
        <v>0</v>
      </c>
      <c r="AD1066" s="116">
        <f t="shared" si="131"/>
        <v>100</v>
      </c>
      <c r="AE1066" s="128">
        <v>0</v>
      </c>
      <c r="AF1066" s="128">
        <v>0</v>
      </c>
      <c r="AG1066" s="128">
        <v>0</v>
      </c>
      <c r="AH1066" s="128">
        <v>0</v>
      </c>
      <c r="AI1066" s="136" t="s">
        <v>1527</v>
      </c>
      <c r="AJ1066" s="137">
        <v>12</v>
      </c>
      <c r="AK1066" s="138">
        <v>1323</v>
      </c>
      <c r="AL1066" s="200"/>
      <c r="AM1066" s="190"/>
      <c r="AN1066" s="190"/>
      <c r="AO1066" s="190"/>
      <c r="AP1066" s="190"/>
      <c r="AQ1066" s="190"/>
      <c r="AR1066" s="190"/>
      <c r="AS1066" s="190"/>
      <c r="AT1066" s="201"/>
      <c r="AU1066" s="190"/>
      <c r="AV1066" s="202"/>
      <c r="AW1066" s="190"/>
      <c r="AX1066" s="190"/>
      <c r="AY1066" s="136"/>
      <c r="AZ1066" s="137"/>
      <c r="BA1066" s="138"/>
      <c r="BB1066" s="137">
        <v>2</v>
      </c>
      <c r="BC1066" s="137">
        <v>13.6</v>
      </c>
      <c r="BD1066" s="137">
        <v>168.4</v>
      </c>
      <c r="BE1066" s="137">
        <v>12.7</v>
      </c>
      <c r="BF1066" s="136"/>
      <c r="BG1066" s="137"/>
      <c r="BH1066" s="138"/>
      <c r="BI1066" s="137"/>
      <c r="BJ1066" s="126">
        <v>1</v>
      </c>
      <c r="BK1066" s="151"/>
    </row>
    <row r="1067" spans="1:63" s="146" customFormat="1" ht="23.25" customHeight="1" thickBot="1" x14ac:dyDescent="0.25">
      <c r="A1067" s="7">
        <v>1066</v>
      </c>
      <c r="B1067" s="122" t="s">
        <v>1588</v>
      </c>
      <c r="C1067" s="122" t="s">
        <v>1644</v>
      </c>
      <c r="D1067" s="119" t="s">
        <v>1736</v>
      </c>
      <c r="E1067" s="117"/>
      <c r="F1067" s="71">
        <f>11.65*100/14</f>
        <v>83.214285714285708</v>
      </c>
      <c r="G1067" s="72">
        <f>1.35*100/14</f>
        <v>9.6428571428571423</v>
      </c>
      <c r="H1067" s="72">
        <v>0</v>
      </c>
      <c r="I1067" s="72">
        <v>0</v>
      </c>
      <c r="J1067" s="72">
        <v>0</v>
      </c>
      <c r="K1067" s="72">
        <v>0</v>
      </c>
      <c r="L1067" s="72">
        <v>0</v>
      </c>
      <c r="M1067" s="72">
        <v>0</v>
      </c>
      <c r="N1067" s="72">
        <v>0</v>
      </c>
      <c r="O1067" s="8">
        <v>0</v>
      </c>
      <c r="P1067" s="72">
        <v>0</v>
      </c>
      <c r="Q1067" s="72">
        <v>0</v>
      </c>
      <c r="R1067" s="72">
        <v>0</v>
      </c>
      <c r="S1067" s="73">
        <v>0</v>
      </c>
      <c r="T1067" s="72">
        <f t="shared" si="130"/>
        <v>7.1428571428571432</v>
      </c>
      <c r="U1067" s="72">
        <v>0</v>
      </c>
      <c r="V1067" s="72">
        <v>0</v>
      </c>
      <c r="W1067" s="72">
        <v>0</v>
      </c>
      <c r="X1067" s="72">
        <v>0</v>
      </c>
      <c r="Y1067" s="72">
        <v>0</v>
      </c>
      <c r="Z1067" s="72">
        <v>0</v>
      </c>
      <c r="AA1067" s="72">
        <v>0</v>
      </c>
      <c r="AB1067" s="8">
        <v>0</v>
      </c>
      <c r="AC1067" s="72">
        <v>0</v>
      </c>
      <c r="AD1067" s="74">
        <f t="shared" si="131"/>
        <v>99.999999999999986</v>
      </c>
      <c r="AE1067" s="72">
        <v>0</v>
      </c>
      <c r="AF1067" s="72">
        <v>0</v>
      </c>
      <c r="AG1067" s="72">
        <v>0</v>
      </c>
      <c r="AH1067" s="72">
        <v>0</v>
      </c>
      <c r="AI1067" s="133" t="s">
        <v>1531</v>
      </c>
      <c r="AJ1067" s="134">
        <v>72</v>
      </c>
      <c r="AK1067" s="135">
        <v>1323</v>
      </c>
      <c r="AL1067" s="158"/>
      <c r="AM1067" s="85"/>
      <c r="AN1067" s="85"/>
      <c r="AO1067" s="85"/>
      <c r="AP1067" s="85"/>
      <c r="AQ1067" s="85"/>
      <c r="AR1067" s="85"/>
      <c r="AS1067" s="85"/>
      <c r="AT1067" s="205"/>
      <c r="AU1067" s="85"/>
      <c r="AV1067" s="196"/>
      <c r="AW1067" s="85"/>
      <c r="AX1067" s="85"/>
      <c r="AY1067" s="133"/>
      <c r="AZ1067" s="134"/>
      <c r="BA1067" s="135"/>
      <c r="BB1067" s="134">
        <v>3</v>
      </c>
      <c r="BC1067" s="134">
        <v>12.4</v>
      </c>
      <c r="BD1067" s="134">
        <v>212.8</v>
      </c>
      <c r="BE1067" s="134">
        <v>16.7</v>
      </c>
      <c r="BF1067" s="133"/>
      <c r="BG1067" s="134"/>
      <c r="BH1067" s="135"/>
      <c r="BI1067" s="134"/>
      <c r="BJ1067" s="121">
        <v>1</v>
      </c>
      <c r="BK1067" s="145"/>
    </row>
    <row r="1068" spans="1:63" s="150" customFormat="1" ht="23.25" customHeight="1" x14ac:dyDescent="0.2">
      <c r="A1068" s="62">
        <v>1067</v>
      </c>
      <c r="B1068" s="232" t="s">
        <v>1589</v>
      </c>
      <c r="C1068" s="232" t="s">
        <v>1645</v>
      </c>
      <c r="D1068" s="273" t="s">
        <v>1755</v>
      </c>
      <c r="E1068" s="123" t="s">
        <v>1664</v>
      </c>
      <c r="F1068" s="154">
        <f>(11.5-0.3)*100/14</f>
        <v>80</v>
      </c>
      <c r="G1068" s="124">
        <f t="shared" ref="G1068:G1070" si="132">1.5*100/14</f>
        <v>10.714285714285714</v>
      </c>
      <c r="H1068" s="124">
        <v>0</v>
      </c>
      <c r="I1068" s="124">
        <v>0</v>
      </c>
      <c r="J1068" s="124">
        <f>0.3*100/14</f>
        <v>2.1428571428571428</v>
      </c>
      <c r="K1068" s="124">
        <v>0</v>
      </c>
      <c r="L1068" s="124">
        <v>0</v>
      </c>
      <c r="M1068" s="124">
        <v>0</v>
      </c>
      <c r="N1068" s="124">
        <v>0</v>
      </c>
      <c r="O1068" s="88">
        <v>0</v>
      </c>
      <c r="P1068" s="124">
        <v>0</v>
      </c>
      <c r="Q1068" s="124">
        <v>0</v>
      </c>
      <c r="R1068" s="124">
        <v>0</v>
      </c>
      <c r="S1068" s="125">
        <v>0</v>
      </c>
      <c r="T1068" s="124">
        <f t="shared" ref="T1068:T1070" si="133">0.8*100/14</f>
        <v>5.7142857142857144</v>
      </c>
      <c r="U1068" s="124">
        <v>0</v>
      </c>
      <c r="V1068" s="124">
        <f>0.2*100/14</f>
        <v>1.4285714285714286</v>
      </c>
      <c r="W1068" s="124">
        <v>0</v>
      </c>
      <c r="X1068" s="124">
        <v>0</v>
      </c>
      <c r="Y1068" s="124">
        <v>0</v>
      </c>
      <c r="Z1068" s="124">
        <v>0</v>
      </c>
      <c r="AA1068" s="124">
        <v>0</v>
      </c>
      <c r="AB1068" s="88">
        <v>0</v>
      </c>
      <c r="AC1068" s="124">
        <v>0</v>
      </c>
      <c r="AD1068" s="114">
        <f t="shared" si="131"/>
        <v>99.999999999999986</v>
      </c>
      <c r="AE1068" s="124">
        <v>0</v>
      </c>
      <c r="AF1068" s="124">
        <f t="shared" ref="AF1068:AF1070" si="134">0.2*100/14</f>
        <v>1.4285714285714286</v>
      </c>
      <c r="AG1068" s="124">
        <v>0</v>
      </c>
      <c r="AH1068" s="124">
        <v>0</v>
      </c>
      <c r="AI1068" s="140" t="s">
        <v>1529</v>
      </c>
      <c r="AJ1068" s="141">
        <v>10</v>
      </c>
      <c r="AK1068" s="142">
        <v>1373</v>
      </c>
      <c r="AL1068" s="197"/>
      <c r="AM1068" s="189"/>
      <c r="AN1068" s="189"/>
      <c r="AO1068" s="189"/>
      <c r="AP1068" s="189"/>
      <c r="AQ1068" s="189"/>
      <c r="AR1068" s="189"/>
      <c r="AS1068" s="189"/>
      <c r="AT1068" s="198"/>
      <c r="AU1068" s="189"/>
      <c r="AV1068" s="199"/>
      <c r="AW1068" s="215">
        <v>11.457599999999999</v>
      </c>
      <c r="AX1068" s="189"/>
      <c r="AY1068" s="140">
        <v>0.01</v>
      </c>
      <c r="AZ1068" s="141">
        <v>239</v>
      </c>
      <c r="BA1068" s="142">
        <v>1.9</v>
      </c>
      <c r="BB1068" s="148" t="s">
        <v>1384</v>
      </c>
      <c r="BC1068" s="148" t="s">
        <v>1415</v>
      </c>
      <c r="BD1068" s="148" t="s">
        <v>1416</v>
      </c>
      <c r="BE1068" s="148" t="s">
        <v>1956</v>
      </c>
      <c r="BF1068" s="140"/>
      <c r="BG1068" s="141"/>
      <c r="BH1068" s="142"/>
      <c r="BI1068" s="141"/>
      <c r="BJ1068" s="164">
        <v>1</v>
      </c>
      <c r="BK1068" s="149"/>
    </row>
    <row r="1069" spans="1:63" s="146" customFormat="1" ht="23.25" customHeight="1" x14ac:dyDescent="0.2">
      <c r="A1069" s="7">
        <v>1068</v>
      </c>
      <c r="B1069" s="233"/>
      <c r="C1069" s="233"/>
      <c r="D1069" s="274"/>
      <c r="E1069" s="117" t="s">
        <v>1676</v>
      </c>
      <c r="F1069" s="71">
        <f>(11.5-0.5)*100/14</f>
        <v>78.571428571428569</v>
      </c>
      <c r="G1069" s="72">
        <f t="shared" si="132"/>
        <v>10.714285714285714</v>
      </c>
      <c r="H1069" s="72">
        <v>0</v>
      </c>
      <c r="I1069" s="72">
        <v>0</v>
      </c>
      <c r="J1069" s="72">
        <f>0.5*100/14</f>
        <v>3.5714285714285716</v>
      </c>
      <c r="K1069" s="72">
        <v>0</v>
      </c>
      <c r="L1069" s="72">
        <v>0</v>
      </c>
      <c r="M1069" s="72">
        <v>0</v>
      </c>
      <c r="N1069" s="72">
        <v>0</v>
      </c>
      <c r="O1069" s="8">
        <v>0</v>
      </c>
      <c r="P1069" s="72">
        <v>0</v>
      </c>
      <c r="Q1069" s="72">
        <v>0</v>
      </c>
      <c r="R1069" s="72">
        <v>0</v>
      </c>
      <c r="S1069" s="73">
        <v>0</v>
      </c>
      <c r="T1069" s="72">
        <f t="shared" si="133"/>
        <v>5.7142857142857144</v>
      </c>
      <c r="U1069" s="72">
        <v>0</v>
      </c>
      <c r="V1069" s="72">
        <f>0.2*100/14</f>
        <v>1.4285714285714286</v>
      </c>
      <c r="W1069" s="72">
        <v>0</v>
      </c>
      <c r="X1069" s="72">
        <v>0</v>
      </c>
      <c r="Y1069" s="72">
        <v>0</v>
      </c>
      <c r="Z1069" s="72">
        <v>0</v>
      </c>
      <c r="AA1069" s="72">
        <v>0</v>
      </c>
      <c r="AB1069" s="8">
        <v>0</v>
      </c>
      <c r="AC1069" s="72">
        <v>0</v>
      </c>
      <c r="AD1069" s="74">
        <f t="shared" si="131"/>
        <v>99.999999999999986</v>
      </c>
      <c r="AE1069" s="72">
        <v>0</v>
      </c>
      <c r="AF1069" s="72">
        <f t="shared" si="134"/>
        <v>1.4285714285714286</v>
      </c>
      <c r="AG1069" s="72">
        <v>0</v>
      </c>
      <c r="AH1069" s="72">
        <v>0</v>
      </c>
      <c r="AI1069" s="133" t="s">
        <v>1529</v>
      </c>
      <c r="AJ1069" s="134">
        <v>10</v>
      </c>
      <c r="AK1069" s="135">
        <v>1373</v>
      </c>
      <c r="AL1069" s="158"/>
      <c r="AM1069" s="85"/>
      <c r="AN1069" s="85"/>
      <c r="AO1069" s="85"/>
      <c r="AP1069" s="85"/>
      <c r="AQ1069" s="85"/>
      <c r="AR1069" s="85"/>
      <c r="AS1069" s="85"/>
      <c r="AT1069" s="205"/>
      <c r="AU1069" s="85"/>
      <c r="AV1069" s="196"/>
      <c r="AW1069" s="216">
        <v>11.4544</v>
      </c>
      <c r="AX1069" s="85"/>
      <c r="AY1069" s="133">
        <v>0.01</v>
      </c>
      <c r="AZ1069" s="134">
        <v>253</v>
      </c>
      <c r="BA1069" s="135">
        <v>1.2</v>
      </c>
      <c r="BB1069" s="144" t="s">
        <v>1384</v>
      </c>
      <c r="BC1069" s="144" t="s">
        <v>1417</v>
      </c>
      <c r="BD1069" s="144" t="s">
        <v>1944</v>
      </c>
      <c r="BE1069" s="144" t="s">
        <v>1418</v>
      </c>
      <c r="BF1069" s="133"/>
      <c r="BG1069" s="134"/>
      <c r="BH1069" s="135"/>
      <c r="BI1069" s="134"/>
      <c r="BJ1069" s="121">
        <v>1</v>
      </c>
      <c r="BK1069" s="145"/>
    </row>
    <row r="1070" spans="1:63" s="152" customFormat="1" ht="23.25" customHeight="1" thickBot="1" x14ac:dyDescent="0.25">
      <c r="A1070" s="62">
        <v>1069</v>
      </c>
      <c r="B1070" s="234"/>
      <c r="C1070" s="234"/>
      <c r="D1070" s="275"/>
      <c r="E1070" s="143" t="s">
        <v>1661</v>
      </c>
      <c r="F1070" s="155">
        <f>(11.5-0.7)*100/14</f>
        <v>77.142857142857139</v>
      </c>
      <c r="G1070" s="128">
        <f t="shared" si="132"/>
        <v>10.714285714285714</v>
      </c>
      <c r="H1070" s="128">
        <v>0</v>
      </c>
      <c r="I1070" s="128">
        <v>0</v>
      </c>
      <c r="J1070" s="128">
        <f>0.7*100/14</f>
        <v>5</v>
      </c>
      <c r="K1070" s="128">
        <v>0</v>
      </c>
      <c r="L1070" s="128">
        <v>0</v>
      </c>
      <c r="M1070" s="128">
        <v>0</v>
      </c>
      <c r="N1070" s="128">
        <v>0</v>
      </c>
      <c r="O1070" s="81">
        <v>0</v>
      </c>
      <c r="P1070" s="128">
        <v>0</v>
      </c>
      <c r="Q1070" s="128">
        <v>0</v>
      </c>
      <c r="R1070" s="128">
        <v>0</v>
      </c>
      <c r="S1070" s="129">
        <v>0</v>
      </c>
      <c r="T1070" s="128">
        <f t="shared" si="133"/>
        <v>5.7142857142857144</v>
      </c>
      <c r="U1070" s="128">
        <v>0</v>
      </c>
      <c r="V1070" s="128">
        <f>0.2*100/14</f>
        <v>1.4285714285714286</v>
      </c>
      <c r="W1070" s="128">
        <v>0</v>
      </c>
      <c r="X1070" s="128">
        <v>0</v>
      </c>
      <c r="Y1070" s="128">
        <v>0</v>
      </c>
      <c r="Z1070" s="128">
        <v>0</v>
      </c>
      <c r="AA1070" s="128">
        <v>0</v>
      </c>
      <c r="AB1070" s="81">
        <v>0</v>
      </c>
      <c r="AC1070" s="128">
        <v>0</v>
      </c>
      <c r="AD1070" s="116">
        <f t="shared" si="131"/>
        <v>99.999999999999986</v>
      </c>
      <c r="AE1070" s="128">
        <v>0</v>
      </c>
      <c r="AF1070" s="128">
        <f t="shared" si="134"/>
        <v>1.4285714285714286</v>
      </c>
      <c r="AG1070" s="128">
        <v>0</v>
      </c>
      <c r="AH1070" s="128">
        <v>0</v>
      </c>
      <c r="AI1070" s="136" t="s">
        <v>1529</v>
      </c>
      <c r="AJ1070" s="137">
        <v>10</v>
      </c>
      <c r="AK1070" s="138">
        <v>1373</v>
      </c>
      <c r="AL1070" s="200"/>
      <c r="AM1070" s="190"/>
      <c r="AN1070" s="190"/>
      <c r="AO1070" s="190"/>
      <c r="AP1070" s="190"/>
      <c r="AQ1070" s="190"/>
      <c r="AR1070" s="190"/>
      <c r="AS1070" s="190"/>
      <c r="AT1070" s="201"/>
      <c r="AU1070" s="190"/>
      <c r="AV1070" s="202"/>
      <c r="AW1070" s="217">
        <v>11.4536</v>
      </c>
      <c r="AX1070" s="190"/>
      <c r="AY1070" s="136">
        <v>0.01</v>
      </c>
      <c r="AZ1070" s="137">
        <v>277</v>
      </c>
      <c r="BA1070" s="138">
        <v>0.8</v>
      </c>
      <c r="BB1070" s="153" t="s">
        <v>1384</v>
      </c>
      <c r="BC1070" s="153" t="s">
        <v>1419</v>
      </c>
      <c r="BD1070" s="153" t="s">
        <v>1420</v>
      </c>
      <c r="BE1070" s="153" t="s">
        <v>1421</v>
      </c>
      <c r="BF1070" s="136"/>
      <c r="BG1070" s="137"/>
      <c r="BH1070" s="138"/>
      <c r="BI1070" s="137"/>
      <c r="BJ1070" s="126">
        <v>1</v>
      </c>
      <c r="BK1070" s="151"/>
    </row>
    <row r="1071" spans="1:63" s="150" customFormat="1" ht="23.25" customHeight="1" x14ac:dyDescent="0.2">
      <c r="A1071" s="7">
        <v>1070</v>
      </c>
      <c r="B1071" s="232" t="s">
        <v>1586</v>
      </c>
      <c r="C1071" s="232" t="s">
        <v>1646</v>
      </c>
      <c r="D1071" s="123" t="s">
        <v>1516</v>
      </c>
      <c r="E1071" s="147"/>
      <c r="F1071" s="154">
        <f>11.5*100/14</f>
        <v>82.142857142857139</v>
      </c>
      <c r="G1071" s="124">
        <f>1.5*100/14</f>
        <v>10.714285714285714</v>
      </c>
      <c r="H1071" s="124">
        <v>0</v>
      </c>
      <c r="I1071" s="124">
        <v>0</v>
      </c>
      <c r="J1071" s="124">
        <v>0</v>
      </c>
      <c r="K1071" s="124">
        <v>0</v>
      </c>
      <c r="L1071" s="124">
        <v>0</v>
      </c>
      <c r="M1071" s="124">
        <v>0</v>
      </c>
      <c r="N1071" s="124">
        <v>0</v>
      </c>
      <c r="O1071" s="88">
        <v>0</v>
      </c>
      <c r="P1071" s="124">
        <v>0</v>
      </c>
      <c r="Q1071" s="124">
        <v>0</v>
      </c>
      <c r="R1071" s="124">
        <v>0</v>
      </c>
      <c r="S1071" s="125">
        <v>0</v>
      </c>
      <c r="T1071" s="124">
        <f>1*100/14</f>
        <v>7.1428571428571432</v>
      </c>
      <c r="U1071" s="124">
        <v>0</v>
      </c>
      <c r="V1071" s="124">
        <v>0</v>
      </c>
      <c r="W1071" s="124">
        <v>0</v>
      </c>
      <c r="X1071" s="124">
        <v>0</v>
      </c>
      <c r="Y1071" s="124">
        <v>0</v>
      </c>
      <c r="Z1071" s="124">
        <v>0</v>
      </c>
      <c r="AA1071" s="124">
        <v>0</v>
      </c>
      <c r="AB1071" s="124">
        <v>0</v>
      </c>
      <c r="AC1071" s="124">
        <v>0</v>
      </c>
      <c r="AD1071" s="114">
        <f t="shared" si="131"/>
        <v>99.999999999999986</v>
      </c>
      <c r="AE1071" s="124">
        <v>0</v>
      </c>
      <c r="AF1071" s="124">
        <v>0</v>
      </c>
      <c r="AG1071" s="124">
        <v>0</v>
      </c>
      <c r="AH1071" s="124">
        <v>0</v>
      </c>
      <c r="AI1071" s="140" t="s">
        <v>1531</v>
      </c>
      <c r="AJ1071" s="141">
        <v>168</v>
      </c>
      <c r="AK1071" s="142">
        <v>1423</v>
      </c>
      <c r="AL1071" s="197"/>
      <c r="AM1071" s="189"/>
      <c r="AN1071" s="189"/>
      <c r="AO1071" s="189"/>
      <c r="AP1071" s="189"/>
      <c r="AQ1071" s="189"/>
      <c r="AR1071" s="189"/>
      <c r="AS1071" s="189"/>
      <c r="AT1071" s="198"/>
      <c r="AU1071" s="189"/>
      <c r="AV1071" s="199"/>
      <c r="AW1071" s="189"/>
      <c r="AX1071" s="189"/>
      <c r="AY1071" s="140">
        <v>0.2</v>
      </c>
      <c r="AZ1071" s="141">
        <v>194.1</v>
      </c>
      <c r="BA1071" s="142">
        <v>8.1</v>
      </c>
      <c r="BB1071" s="141">
        <v>2</v>
      </c>
      <c r="BC1071" s="141">
        <v>22.2</v>
      </c>
      <c r="BD1071" s="141">
        <v>193.9</v>
      </c>
      <c r="BE1071" s="141">
        <v>8.6999999999999993</v>
      </c>
      <c r="BF1071" s="140"/>
      <c r="BG1071" s="141"/>
      <c r="BH1071" s="142"/>
      <c r="BI1071" s="141"/>
      <c r="BJ1071" s="164">
        <v>1</v>
      </c>
      <c r="BK1071" s="149"/>
    </row>
    <row r="1072" spans="1:63" s="146" customFormat="1" ht="23.25" customHeight="1" x14ac:dyDescent="0.2">
      <c r="A1072" s="62">
        <v>1071</v>
      </c>
      <c r="B1072" s="233"/>
      <c r="C1072" s="233"/>
      <c r="D1072" s="118" t="s">
        <v>1517</v>
      </c>
      <c r="E1072" s="117"/>
      <c r="F1072" s="71">
        <f>11.5*100/14</f>
        <v>82.142857142857139</v>
      </c>
      <c r="G1072" s="72">
        <f t="shared" ref="G1072:G1075" si="135">1.5*100/14</f>
        <v>10.714285714285714</v>
      </c>
      <c r="H1072" s="72">
        <v>0</v>
      </c>
      <c r="I1072" s="72">
        <v>0</v>
      </c>
      <c r="J1072" s="72">
        <v>0</v>
      </c>
      <c r="K1072" s="72">
        <v>0</v>
      </c>
      <c r="L1072" s="72">
        <v>0</v>
      </c>
      <c r="M1072" s="72">
        <v>0</v>
      </c>
      <c r="N1072" s="72">
        <v>0</v>
      </c>
      <c r="O1072" s="8">
        <v>0</v>
      </c>
      <c r="P1072" s="72">
        <v>0</v>
      </c>
      <c r="Q1072" s="72">
        <v>0</v>
      </c>
      <c r="R1072" s="72">
        <v>0</v>
      </c>
      <c r="S1072" s="73">
        <v>0</v>
      </c>
      <c r="T1072" s="72">
        <f>(1-0.05)*100/14</f>
        <v>6.7857142857142856</v>
      </c>
      <c r="U1072" s="72">
        <v>0</v>
      </c>
      <c r="V1072" s="72">
        <v>0</v>
      </c>
      <c r="W1072" s="72">
        <v>0</v>
      </c>
      <c r="X1072" s="72">
        <v>0</v>
      </c>
      <c r="Y1072" s="72">
        <v>0</v>
      </c>
      <c r="Z1072" s="72">
        <v>0</v>
      </c>
      <c r="AA1072" s="72">
        <v>0</v>
      </c>
      <c r="AB1072" s="72">
        <f>0.05*100/14</f>
        <v>0.35714285714285715</v>
      </c>
      <c r="AC1072" s="72">
        <v>0</v>
      </c>
      <c r="AD1072" s="74">
        <f t="shared" si="131"/>
        <v>100</v>
      </c>
      <c r="AE1072" s="72">
        <v>0</v>
      </c>
      <c r="AF1072" s="72">
        <v>0</v>
      </c>
      <c r="AG1072" s="72">
        <v>0</v>
      </c>
      <c r="AH1072" s="72">
        <v>0</v>
      </c>
      <c r="AI1072" s="133" t="s">
        <v>1531</v>
      </c>
      <c r="AJ1072" s="134">
        <v>168</v>
      </c>
      <c r="AK1072" s="135">
        <v>1423</v>
      </c>
      <c r="AL1072" s="158"/>
      <c r="AM1072" s="85"/>
      <c r="AN1072" s="85"/>
      <c r="AO1072" s="85"/>
      <c r="AP1072" s="85"/>
      <c r="AQ1072" s="85"/>
      <c r="AR1072" s="85"/>
      <c r="AS1072" s="85"/>
      <c r="AT1072" s="205"/>
      <c r="AU1072" s="85"/>
      <c r="AV1072" s="196"/>
      <c r="AW1072" s="85"/>
      <c r="AX1072" s="85"/>
      <c r="AY1072" s="133">
        <v>0.2</v>
      </c>
      <c r="AZ1072" s="134">
        <v>194.1</v>
      </c>
      <c r="BA1072" s="135">
        <v>10.199999999999999</v>
      </c>
      <c r="BB1072" s="134">
        <v>2</v>
      </c>
      <c r="BC1072" s="134">
        <v>25.8</v>
      </c>
      <c r="BD1072" s="134">
        <v>193.9</v>
      </c>
      <c r="BE1072" s="134">
        <v>12.1</v>
      </c>
      <c r="BF1072" s="133"/>
      <c r="BG1072" s="134"/>
      <c r="BH1072" s="135"/>
      <c r="BI1072" s="134"/>
      <c r="BJ1072" s="121">
        <v>1</v>
      </c>
      <c r="BK1072" s="145"/>
    </row>
    <row r="1073" spans="1:63" s="146" customFormat="1" ht="23.25" customHeight="1" x14ac:dyDescent="0.2">
      <c r="A1073" s="7">
        <v>1072</v>
      </c>
      <c r="B1073" s="233"/>
      <c r="C1073" s="233"/>
      <c r="D1073" s="118" t="s">
        <v>1518</v>
      </c>
      <c r="E1073" s="117"/>
      <c r="F1073" s="71">
        <f t="shared" ref="F1073:F1075" si="136">11.5*100/14</f>
        <v>82.142857142857139</v>
      </c>
      <c r="G1073" s="72">
        <f t="shared" si="135"/>
        <v>10.714285714285714</v>
      </c>
      <c r="H1073" s="72">
        <v>0</v>
      </c>
      <c r="I1073" s="72">
        <v>0</v>
      </c>
      <c r="J1073" s="72">
        <v>0</v>
      </c>
      <c r="K1073" s="72">
        <v>0</v>
      </c>
      <c r="L1073" s="72">
        <v>0</v>
      </c>
      <c r="M1073" s="72">
        <v>0</v>
      </c>
      <c r="N1073" s="72">
        <v>0</v>
      </c>
      <c r="O1073" s="8">
        <v>0</v>
      </c>
      <c r="P1073" s="72">
        <v>0</v>
      </c>
      <c r="Q1073" s="72">
        <v>0</v>
      </c>
      <c r="R1073" s="72">
        <v>0</v>
      </c>
      <c r="S1073" s="73">
        <v>0</v>
      </c>
      <c r="T1073" s="72">
        <f>(1-0.1)*100/14</f>
        <v>6.4285714285714288</v>
      </c>
      <c r="U1073" s="72">
        <v>0</v>
      </c>
      <c r="V1073" s="72">
        <v>0</v>
      </c>
      <c r="W1073" s="72">
        <v>0</v>
      </c>
      <c r="X1073" s="72">
        <v>0</v>
      </c>
      <c r="Y1073" s="72">
        <v>0</v>
      </c>
      <c r="Z1073" s="72">
        <v>0</v>
      </c>
      <c r="AA1073" s="72">
        <v>0</v>
      </c>
      <c r="AB1073" s="72">
        <f>0.1*100/14</f>
        <v>0.7142857142857143</v>
      </c>
      <c r="AC1073" s="72">
        <v>0</v>
      </c>
      <c r="AD1073" s="74">
        <f t="shared" si="131"/>
        <v>99.999999999999986</v>
      </c>
      <c r="AE1073" s="72">
        <v>0</v>
      </c>
      <c r="AF1073" s="72">
        <v>0</v>
      </c>
      <c r="AG1073" s="72">
        <v>0</v>
      </c>
      <c r="AH1073" s="72">
        <v>0</v>
      </c>
      <c r="AI1073" s="133" t="s">
        <v>1531</v>
      </c>
      <c r="AJ1073" s="134">
        <v>168</v>
      </c>
      <c r="AK1073" s="135">
        <v>1423</v>
      </c>
      <c r="AL1073" s="158"/>
      <c r="AM1073" s="85"/>
      <c r="AN1073" s="85"/>
      <c r="AO1073" s="85"/>
      <c r="AP1073" s="85"/>
      <c r="AQ1073" s="85"/>
      <c r="AR1073" s="85"/>
      <c r="AS1073" s="85"/>
      <c r="AT1073" s="205"/>
      <c r="AU1073" s="85"/>
      <c r="AV1073" s="196"/>
      <c r="AW1073" s="85"/>
      <c r="AX1073" s="85"/>
      <c r="AY1073" s="133">
        <v>0.2</v>
      </c>
      <c r="AZ1073" s="134">
        <v>194.1</v>
      </c>
      <c r="BA1073" s="135">
        <v>9.4</v>
      </c>
      <c r="BB1073" s="134">
        <v>2</v>
      </c>
      <c r="BC1073" s="134">
        <v>20</v>
      </c>
      <c r="BD1073" s="134">
        <v>195.9</v>
      </c>
      <c r="BE1073" s="134">
        <v>8.5399999999999991</v>
      </c>
      <c r="BF1073" s="133"/>
      <c r="BG1073" s="134"/>
      <c r="BH1073" s="135"/>
      <c r="BI1073" s="134"/>
      <c r="BJ1073" s="121">
        <v>1</v>
      </c>
      <c r="BK1073" s="145"/>
    </row>
    <row r="1074" spans="1:63" s="146" customFormat="1" ht="23.25" customHeight="1" x14ac:dyDescent="0.2">
      <c r="A1074" s="62">
        <v>1073</v>
      </c>
      <c r="B1074" s="233"/>
      <c r="C1074" s="233"/>
      <c r="D1074" s="118" t="s">
        <v>1519</v>
      </c>
      <c r="E1074" s="117"/>
      <c r="F1074" s="71">
        <f t="shared" si="136"/>
        <v>82.142857142857139</v>
      </c>
      <c r="G1074" s="72">
        <f t="shared" si="135"/>
        <v>10.714285714285714</v>
      </c>
      <c r="H1074" s="72">
        <v>0</v>
      </c>
      <c r="I1074" s="72">
        <v>0</v>
      </c>
      <c r="J1074" s="72">
        <v>0</v>
      </c>
      <c r="K1074" s="72">
        <v>0</v>
      </c>
      <c r="L1074" s="72">
        <v>0</v>
      </c>
      <c r="M1074" s="72">
        <v>0</v>
      </c>
      <c r="N1074" s="72">
        <v>0</v>
      </c>
      <c r="O1074" s="8">
        <v>0</v>
      </c>
      <c r="P1074" s="72">
        <v>0</v>
      </c>
      <c r="Q1074" s="72">
        <v>0</v>
      </c>
      <c r="R1074" s="72">
        <v>0</v>
      </c>
      <c r="S1074" s="73">
        <v>0</v>
      </c>
      <c r="T1074" s="72">
        <f>(1-0.2)*100/14</f>
        <v>5.7142857142857144</v>
      </c>
      <c r="U1074" s="72">
        <v>0</v>
      </c>
      <c r="V1074" s="72">
        <v>0</v>
      </c>
      <c r="W1074" s="72">
        <v>0</v>
      </c>
      <c r="X1074" s="72">
        <v>0</v>
      </c>
      <c r="Y1074" s="72">
        <v>0</v>
      </c>
      <c r="Z1074" s="72">
        <v>0</v>
      </c>
      <c r="AA1074" s="72">
        <v>0</v>
      </c>
      <c r="AB1074" s="72">
        <f>0.2*100/14</f>
        <v>1.4285714285714286</v>
      </c>
      <c r="AC1074" s="72">
        <v>0</v>
      </c>
      <c r="AD1074" s="74">
        <f t="shared" si="131"/>
        <v>99.999999999999986</v>
      </c>
      <c r="AE1074" s="72">
        <v>0</v>
      </c>
      <c r="AF1074" s="72">
        <v>0</v>
      </c>
      <c r="AG1074" s="72">
        <v>0</v>
      </c>
      <c r="AH1074" s="72">
        <v>0</v>
      </c>
      <c r="AI1074" s="133" t="s">
        <v>1531</v>
      </c>
      <c r="AJ1074" s="134">
        <v>168</v>
      </c>
      <c r="AK1074" s="135">
        <v>1423</v>
      </c>
      <c r="AL1074" s="158"/>
      <c r="AM1074" s="85"/>
      <c r="AN1074" s="85"/>
      <c r="AO1074" s="85"/>
      <c r="AP1074" s="85"/>
      <c r="AQ1074" s="85"/>
      <c r="AR1074" s="85"/>
      <c r="AS1074" s="85"/>
      <c r="AT1074" s="205"/>
      <c r="AU1074" s="85"/>
      <c r="AV1074" s="196"/>
      <c r="AW1074" s="85"/>
      <c r="AX1074" s="85"/>
      <c r="AY1074" s="133">
        <v>0.2</v>
      </c>
      <c r="AZ1074" s="134">
        <v>194.8</v>
      </c>
      <c r="BA1074" s="135">
        <v>8.9</v>
      </c>
      <c r="BB1074" s="134">
        <v>2</v>
      </c>
      <c r="BC1074" s="134">
        <v>16.7</v>
      </c>
      <c r="BD1074" s="134">
        <v>196</v>
      </c>
      <c r="BE1074" s="134">
        <v>8.75</v>
      </c>
      <c r="BF1074" s="133"/>
      <c r="BG1074" s="134"/>
      <c r="BH1074" s="135"/>
      <c r="BI1074" s="134"/>
      <c r="BJ1074" s="121">
        <v>1</v>
      </c>
      <c r="BK1074" s="145"/>
    </row>
    <row r="1075" spans="1:63" s="152" customFormat="1" ht="23.25" customHeight="1" thickBot="1" x14ac:dyDescent="0.25">
      <c r="A1075" s="7">
        <v>1074</v>
      </c>
      <c r="B1075" s="234"/>
      <c r="C1075" s="234"/>
      <c r="D1075" s="127" t="s">
        <v>1520</v>
      </c>
      <c r="E1075" s="143"/>
      <c r="F1075" s="155">
        <f t="shared" si="136"/>
        <v>82.142857142857139</v>
      </c>
      <c r="G1075" s="128">
        <f t="shared" si="135"/>
        <v>10.714285714285714</v>
      </c>
      <c r="H1075" s="128">
        <v>0</v>
      </c>
      <c r="I1075" s="128">
        <v>0</v>
      </c>
      <c r="J1075" s="128">
        <v>0</v>
      </c>
      <c r="K1075" s="128">
        <v>0</v>
      </c>
      <c r="L1075" s="128">
        <v>0</v>
      </c>
      <c r="M1075" s="128">
        <v>0</v>
      </c>
      <c r="N1075" s="128">
        <v>0</v>
      </c>
      <c r="O1075" s="81">
        <v>0</v>
      </c>
      <c r="P1075" s="128">
        <v>0</v>
      </c>
      <c r="Q1075" s="128">
        <v>0</v>
      </c>
      <c r="R1075" s="128">
        <v>0</v>
      </c>
      <c r="S1075" s="129">
        <v>0</v>
      </c>
      <c r="T1075" s="128">
        <f>(1-0.3)*100/14</f>
        <v>5</v>
      </c>
      <c r="U1075" s="128">
        <v>0</v>
      </c>
      <c r="V1075" s="128">
        <v>0</v>
      </c>
      <c r="W1075" s="128">
        <v>0</v>
      </c>
      <c r="X1075" s="128">
        <v>0</v>
      </c>
      <c r="Y1075" s="128">
        <v>0</v>
      </c>
      <c r="Z1075" s="128">
        <v>0</v>
      </c>
      <c r="AA1075" s="128">
        <v>0</v>
      </c>
      <c r="AB1075" s="128">
        <f>0.3*100/14</f>
        <v>2.1428571428571428</v>
      </c>
      <c r="AC1075" s="128">
        <v>0</v>
      </c>
      <c r="AD1075" s="116">
        <f t="shared" si="131"/>
        <v>99.999999999999986</v>
      </c>
      <c r="AE1075" s="128">
        <v>0</v>
      </c>
      <c r="AF1075" s="128">
        <v>0</v>
      </c>
      <c r="AG1075" s="128">
        <v>0</v>
      </c>
      <c r="AH1075" s="128">
        <v>0</v>
      </c>
      <c r="AI1075" s="136" t="s">
        <v>1531</v>
      </c>
      <c r="AJ1075" s="137">
        <v>168</v>
      </c>
      <c r="AK1075" s="138">
        <v>1423</v>
      </c>
      <c r="AL1075" s="200"/>
      <c r="AM1075" s="190"/>
      <c r="AN1075" s="190"/>
      <c r="AO1075" s="190"/>
      <c r="AP1075" s="190"/>
      <c r="AQ1075" s="190"/>
      <c r="AR1075" s="190"/>
      <c r="AS1075" s="190"/>
      <c r="AT1075" s="201"/>
      <c r="AU1075" s="190"/>
      <c r="AV1075" s="202"/>
      <c r="AW1075" s="190"/>
      <c r="AX1075" s="190"/>
      <c r="AY1075" s="136">
        <v>0.2</v>
      </c>
      <c r="AZ1075" s="137">
        <v>197.1</v>
      </c>
      <c r="BA1075" s="138">
        <v>6.1</v>
      </c>
      <c r="BB1075" s="137">
        <v>2</v>
      </c>
      <c r="BC1075" s="137">
        <v>10.5</v>
      </c>
      <c r="BD1075" s="137">
        <v>196.9</v>
      </c>
      <c r="BE1075" s="137">
        <v>10</v>
      </c>
      <c r="BF1075" s="136"/>
      <c r="BG1075" s="137"/>
      <c r="BH1075" s="138"/>
      <c r="BI1075" s="137"/>
      <c r="BJ1075" s="126">
        <v>1</v>
      </c>
      <c r="BK1075" s="151"/>
    </row>
    <row r="1076" spans="1:63" s="183" customFormat="1" ht="45.75" thickBot="1" x14ac:dyDescent="0.25">
      <c r="A1076" s="62">
        <v>1075</v>
      </c>
      <c r="B1076" s="177">
        <v>957</v>
      </c>
      <c r="C1076" s="177" t="s">
        <v>1647</v>
      </c>
      <c r="D1076" s="21" t="s">
        <v>17</v>
      </c>
      <c r="E1076" s="178"/>
      <c r="F1076" s="179">
        <f>11.6*100/14</f>
        <v>82.857142857142861</v>
      </c>
      <c r="G1076" s="130">
        <f>1.4*100/14</f>
        <v>10</v>
      </c>
      <c r="H1076" s="130">
        <v>0</v>
      </c>
      <c r="I1076" s="130">
        <v>0</v>
      </c>
      <c r="J1076" s="130">
        <v>0</v>
      </c>
      <c r="K1076" s="130">
        <v>0</v>
      </c>
      <c r="L1076" s="130">
        <v>0</v>
      </c>
      <c r="M1076" s="130">
        <v>0</v>
      </c>
      <c r="N1076" s="130">
        <v>0</v>
      </c>
      <c r="O1076" s="100">
        <v>0</v>
      </c>
      <c r="P1076" s="130">
        <v>0</v>
      </c>
      <c r="Q1076" s="130">
        <v>0</v>
      </c>
      <c r="R1076" s="130">
        <v>0</v>
      </c>
      <c r="S1076" s="131">
        <v>0</v>
      </c>
      <c r="T1076" s="130">
        <f>1*100/14</f>
        <v>7.1428571428571432</v>
      </c>
      <c r="U1076" s="130">
        <v>0</v>
      </c>
      <c r="V1076" s="130">
        <v>0</v>
      </c>
      <c r="W1076" s="130">
        <v>0</v>
      </c>
      <c r="X1076" s="130">
        <v>0</v>
      </c>
      <c r="Y1076" s="130">
        <v>0</v>
      </c>
      <c r="Z1076" s="130">
        <v>0</v>
      </c>
      <c r="AA1076" s="130">
        <v>0</v>
      </c>
      <c r="AB1076" s="130">
        <v>0</v>
      </c>
      <c r="AC1076" s="130">
        <v>0</v>
      </c>
      <c r="AD1076" s="115">
        <f t="shared" si="131"/>
        <v>100</v>
      </c>
      <c r="AE1076" s="130">
        <v>0</v>
      </c>
      <c r="AF1076" s="130">
        <v>0</v>
      </c>
      <c r="AG1076" s="130">
        <v>0</v>
      </c>
      <c r="AH1076" s="130">
        <v>0</v>
      </c>
      <c r="AI1076" s="180" t="s">
        <v>1527</v>
      </c>
      <c r="AJ1076" s="181">
        <v>48</v>
      </c>
      <c r="AK1076" s="182">
        <v>1323</v>
      </c>
      <c r="AL1076" s="206"/>
      <c r="AM1076" s="194"/>
      <c r="AN1076" s="194"/>
      <c r="AO1076" s="194"/>
      <c r="AP1076" s="194"/>
      <c r="AQ1076" s="194"/>
      <c r="AR1076" s="194"/>
      <c r="AS1076" s="194"/>
      <c r="AT1076" s="207"/>
      <c r="AU1076" s="194"/>
      <c r="AV1076" s="208"/>
      <c r="AW1076" s="194"/>
      <c r="AX1076" s="194"/>
      <c r="AY1076" s="180">
        <v>0.05</v>
      </c>
      <c r="AZ1076" s="181">
        <v>189</v>
      </c>
      <c r="BA1076" s="182">
        <v>7</v>
      </c>
      <c r="BB1076" s="181" t="s">
        <v>1422</v>
      </c>
      <c r="BC1076" s="181" t="s">
        <v>1484</v>
      </c>
      <c r="BD1076" s="181" t="s">
        <v>1485</v>
      </c>
      <c r="BE1076" s="181" t="s">
        <v>1486</v>
      </c>
      <c r="BF1076" s="180"/>
      <c r="BG1076" s="181"/>
      <c r="BH1076" s="182"/>
      <c r="BI1076" s="181"/>
      <c r="BJ1076" s="132">
        <v>1</v>
      </c>
      <c r="BK1076" s="184" t="s">
        <v>1731</v>
      </c>
    </row>
    <row r="1077" spans="1:63" ht="23.25" customHeight="1" x14ac:dyDescent="0.2">
      <c r="A1077" s="7">
        <v>1076</v>
      </c>
      <c r="B1077" s="218">
        <v>958</v>
      </c>
      <c r="C1077" s="218" t="s">
        <v>1648</v>
      </c>
      <c r="D1077" s="54" t="s">
        <v>1423</v>
      </c>
      <c r="E1077" s="54"/>
      <c r="F1077" s="16">
        <f>10.85*100/14</f>
        <v>77.5</v>
      </c>
      <c r="G1077" s="8">
        <f>1.4*100/14</f>
        <v>10</v>
      </c>
      <c r="H1077" s="8">
        <v>0</v>
      </c>
      <c r="I1077" s="8">
        <v>0</v>
      </c>
      <c r="J1077" s="8">
        <f>0.75*100/14</f>
        <v>5.3571428571428568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17">
        <v>0</v>
      </c>
      <c r="T1077" s="8">
        <f>1*100/14</f>
        <v>7.1428571428571432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74">
        <f t="shared" si="131"/>
        <v>100</v>
      </c>
      <c r="AE1077" s="8">
        <v>0</v>
      </c>
      <c r="AF1077" s="8">
        <f>0.15*100/14</f>
        <v>1.0714285714285714</v>
      </c>
      <c r="AG1077" s="8">
        <v>0</v>
      </c>
      <c r="AH1077" s="8">
        <v>0</v>
      </c>
      <c r="AI1077" s="39" t="s">
        <v>1531</v>
      </c>
      <c r="AJ1077" s="7">
        <v>144</v>
      </c>
      <c r="AK1077" s="62">
        <v>1353</v>
      </c>
      <c r="AL1077" s="158"/>
      <c r="AM1077" s="85"/>
      <c r="AN1077" s="85"/>
      <c r="AO1077" s="85"/>
      <c r="AP1077" s="85"/>
      <c r="AQ1077" s="85"/>
      <c r="AR1077" s="85"/>
      <c r="AS1077" s="85"/>
      <c r="AT1077" s="205"/>
      <c r="AU1077" s="85"/>
      <c r="AV1077" s="196"/>
      <c r="AW1077" s="85"/>
      <c r="AX1077" s="85"/>
      <c r="AY1077" s="39">
        <v>0.01</v>
      </c>
      <c r="AZ1077" s="7">
        <v>296</v>
      </c>
      <c r="BA1077" s="62"/>
      <c r="BB1077" s="7">
        <v>2</v>
      </c>
      <c r="BC1077" s="7">
        <v>6.5</v>
      </c>
      <c r="BD1077" s="7">
        <v>293</v>
      </c>
      <c r="BE1077" s="7">
        <v>25.95</v>
      </c>
      <c r="BF1077" s="39"/>
      <c r="BG1077" s="7"/>
      <c r="BH1077" s="62"/>
      <c r="BI1077" s="7"/>
      <c r="BJ1077" s="32">
        <v>1</v>
      </c>
      <c r="BK1077" s="54"/>
    </row>
    <row r="1078" spans="1:63" ht="23.25" customHeight="1" x14ac:dyDescent="0.2">
      <c r="A1078" s="62">
        <v>1077</v>
      </c>
      <c r="B1078" s="221"/>
      <c r="C1078" s="221"/>
      <c r="D1078" s="54" t="s">
        <v>1424</v>
      </c>
      <c r="E1078" s="54"/>
      <c r="F1078" s="16">
        <f>11.4*100/14</f>
        <v>81.428571428571431</v>
      </c>
      <c r="G1078" s="8">
        <f>1.3*100/14</f>
        <v>9.2857142857142865</v>
      </c>
      <c r="H1078" s="8">
        <v>0</v>
      </c>
      <c r="I1078" s="8">
        <v>0</v>
      </c>
      <c r="J1078" s="8">
        <f>0.3*100/14</f>
        <v>2.1428571428571428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17">
        <v>0</v>
      </c>
      <c r="T1078" s="8">
        <f t="shared" ref="T1078:T1081" si="137">1*100/14</f>
        <v>7.1428571428571432</v>
      </c>
      <c r="U1078" s="8">
        <v>0</v>
      </c>
      <c r="V1078" s="8">
        <v>0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74">
        <f t="shared" si="131"/>
        <v>100</v>
      </c>
      <c r="AE1078" s="8">
        <v>0</v>
      </c>
      <c r="AF1078" s="8">
        <f t="shared" ref="AF1078:AF1081" si="138">0.15*100/14</f>
        <v>1.0714285714285714</v>
      </c>
      <c r="AG1078" s="8">
        <v>0</v>
      </c>
      <c r="AH1078" s="8">
        <v>0</v>
      </c>
      <c r="AI1078" s="39" t="s">
        <v>1531</v>
      </c>
      <c r="AJ1078" s="7">
        <v>144</v>
      </c>
      <c r="AK1078" s="62">
        <v>1353</v>
      </c>
      <c r="AL1078" s="158"/>
      <c r="AM1078" s="85"/>
      <c r="AN1078" s="85"/>
      <c r="AO1078" s="85"/>
      <c r="AP1078" s="85"/>
      <c r="AQ1078" s="85"/>
      <c r="AR1078" s="85"/>
      <c r="AS1078" s="85"/>
      <c r="AT1078" s="205"/>
      <c r="AU1078" s="85"/>
      <c r="AV1078" s="196"/>
      <c r="AW1078" s="85"/>
      <c r="AX1078" s="85"/>
      <c r="AY1078" s="39">
        <v>0.01</v>
      </c>
      <c r="AZ1078" s="7">
        <v>248</v>
      </c>
      <c r="BA1078" s="62"/>
      <c r="BB1078" s="7"/>
      <c r="BC1078" s="7"/>
      <c r="BD1078" s="7"/>
      <c r="BE1078" s="7"/>
      <c r="BF1078" s="39"/>
      <c r="BG1078" s="7"/>
      <c r="BH1078" s="62"/>
      <c r="BI1078" s="7"/>
      <c r="BJ1078" s="32">
        <v>1</v>
      </c>
      <c r="BK1078" s="54"/>
    </row>
    <row r="1079" spans="1:63" ht="23.25" customHeight="1" x14ac:dyDescent="0.2">
      <c r="A1079" s="7">
        <v>1078</v>
      </c>
      <c r="B1079" s="221"/>
      <c r="C1079" s="221"/>
      <c r="D1079" s="54" t="s">
        <v>1425</v>
      </c>
      <c r="E1079" s="54"/>
      <c r="F1079" s="16">
        <f>10.8*100/14</f>
        <v>77.142857142857139</v>
      </c>
      <c r="G1079" s="8">
        <f>1.3*100/14</f>
        <v>9.2857142857142865</v>
      </c>
      <c r="H1079" s="8">
        <v>0</v>
      </c>
      <c r="I1079" s="8">
        <v>0</v>
      </c>
      <c r="J1079" s="8">
        <f>0.9*100/14</f>
        <v>6.4285714285714288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17">
        <v>0</v>
      </c>
      <c r="T1079" s="8">
        <f t="shared" si="137"/>
        <v>7.1428571428571432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74">
        <f t="shared" si="131"/>
        <v>100</v>
      </c>
      <c r="AE1079" s="8">
        <v>0</v>
      </c>
      <c r="AF1079" s="8">
        <f t="shared" si="138"/>
        <v>1.0714285714285714</v>
      </c>
      <c r="AG1079" s="8">
        <v>0</v>
      </c>
      <c r="AH1079" s="8">
        <v>0</v>
      </c>
      <c r="AI1079" s="39" t="s">
        <v>1531</v>
      </c>
      <c r="AJ1079" s="7">
        <v>144</v>
      </c>
      <c r="AK1079" s="62">
        <v>1353</v>
      </c>
      <c r="AL1079" s="158"/>
      <c r="AM1079" s="85"/>
      <c r="AN1079" s="85"/>
      <c r="AO1079" s="85"/>
      <c r="AP1079" s="85"/>
      <c r="AQ1079" s="85"/>
      <c r="AR1079" s="85"/>
      <c r="AS1079" s="85"/>
      <c r="AT1079" s="205"/>
      <c r="AU1079" s="85"/>
      <c r="AV1079" s="196"/>
      <c r="AW1079" s="85"/>
      <c r="AX1079" s="85"/>
      <c r="AY1079" s="39">
        <v>0.01</v>
      </c>
      <c r="AZ1079" s="7">
        <v>314</v>
      </c>
      <c r="BA1079" s="62"/>
      <c r="BB1079" s="7"/>
      <c r="BC1079" s="7"/>
      <c r="BD1079" s="7"/>
      <c r="BE1079" s="7"/>
      <c r="BF1079" s="39"/>
      <c r="BG1079" s="7"/>
      <c r="BH1079" s="62"/>
      <c r="BI1079" s="7"/>
      <c r="BJ1079" s="32">
        <v>1</v>
      </c>
      <c r="BK1079" s="54"/>
    </row>
    <row r="1080" spans="1:63" ht="23.25" customHeight="1" x14ac:dyDescent="0.2">
      <c r="A1080" s="62">
        <v>1079</v>
      </c>
      <c r="B1080" s="221"/>
      <c r="C1080" s="221"/>
      <c r="D1080" s="54" t="s">
        <v>10</v>
      </c>
      <c r="E1080" s="54"/>
      <c r="F1080" s="16">
        <f>11.5*100/14</f>
        <v>82.142857142857139</v>
      </c>
      <c r="G1080" s="8">
        <f>1.5*100/14</f>
        <v>10.714285714285714</v>
      </c>
      <c r="H1080" s="8">
        <v>0</v>
      </c>
      <c r="I1080" s="8">
        <v>0</v>
      </c>
      <c r="J1080" s="8">
        <f>0</f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17">
        <v>0</v>
      </c>
      <c r="T1080" s="8">
        <f t="shared" si="137"/>
        <v>7.1428571428571432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74">
        <f t="shared" si="131"/>
        <v>99.999999999999986</v>
      </c>
      <c r="AE1080" s="8">
        <v>0</v>
      </c>
      <c r="AF1080" s="8">
        <v>0</v>
      </c>
      <c r="AG1080" s="8">
        <v>0</v>
      </c>
      <c r="AH1080" s="8">
        <v>0</v>
      </c>
      <c r="AI1080" s="39" t="s">
        <v>1531</v>
      </c>
      <c r="AJ1080" s="7">
        <v>144</v>
      </c>
      <c r="AK1080" s="62">
        <v>1353</v>
      </c>
      <c r="AL1080" s="158"/>
      <c r="AM1080" s="85"/>
      <c r="AN1080" s="85"/>
      <c r="AO1080" s="85"/>
      <c r="AP1080" s="85"/>
      <c r="AQ1080" s="85"/>
      <c r="AR1080" s="85"/>
      <c r="AS1080" s="85"/>
      <c r="AT1080" s="205"/>
      <c r="AU1080" s="85"/>
      <c r="AV1080" s="196"/>
      <c r="AW1080" s="85"/>
      <c r="AX1080" s="85"/>
      <c r="AY1080" s="39">
        <v>0.01</v>
      </c>
      <c r="AZ1080" s="7">
        <v>199</v>
      </c>
      <c r="BA1080" s="62"/>
      <c r="BB1080" s="7"/>
      <c r="BC1080" s="7"/>
      <c r="BD1080" s="7"/>
      <c r="BE1080" s="7"/>
      <c r="BF1080" s="39"/>
      <c r="BG1080" s="7"/>
      <c r="BH1080" s="62"/>
      <c r="BI1080" s="7"/>
      <c r="BJ1080" s="32">
        <v>1</v>
      </c>
      <c r="BK1080" s="54"/>
    </row>
    <row r="1081" spans="1:63" s="6" customFormat="1" ht="23.25" customHeight="1" thickBot="1" x14ac:dyDescent="0.25">
      <c r="A1081" s="7">
        <v>1080</v>
      </c>
      <c r="B1081" s="222"/>
      <c r="C1081" s="222"/>
      <c r="D1081" s="13" t="s">
        <v>1426</v>
      </c>
      <c r="E1081" s="13"/>
      <c r="F1081" s="80">
        <f>11.2*100/14</f>
        <v>80</v>
      </c>
      <c r="G1081" s="81">
        <f>1.3*100/14</f>
        <v>9.2857142857142865</v>
      </c>
      <c r="H1081" s="81">
        <v>0</v>
      </c>
      <c r="I1081" s="81">
        <v>0</v>
      </c>
      <c r="J1081" s="81">
        <f>0.5*100/14</f>
        <v>3.5714285714285716</v>
      </c>
      <c r="K1081" s="81">
        <v>0</v>
      </c>
      <c r="L1081" s="81">
        <v>0</v>
      </c>
      <c r="M1081" s="81">
        <v>0</v>
      </c>
      <c r="N1081" s="81">
        <v>0</v>
      </c>
      <c r="O1081" s="81">
        <v>0</v>
      </c>
      <c r="P1081" s="81">
        <v>0</v>
      </c>
      <c r="Q1081" s="81">
        <v>0</v>
      </c>
      <c r="R1081" s="81">
        <v>0</v>
      </c>
      <c r="S1081" s="82">
        <v>0</v>
      </c>
      <c r="T1081" s="81">
        <f t="shared" si="137"/>
        <v>7.1428571428571432</v>
      </c>
      <c r="U1081" s="81">
        <v>0</v>
      </c>
      <c r="V1081" s="81">
        <v>0</v>
      </c>
      <c r="W1081" s="81">
        <v>0</v>
      </c>
      <c r="X1081" s="81">
        <v>0</v>
      </c>
      <c r="Y1081" s="81">
        <v>0</v>
      </c>
      <c r="Z1081" s="81">
        <v>0</v>
      </c>
      <c r="AA1081" s="81">
        <v>0</v>
      </c>
      <c r="AB1081" s="81">
        <v>0</v>
      </c>
      <c r="AC1081" s="81">
        <v>0</v>
      </c>
      <c r="AD1081" s="116">
        <f t="shared" si="131"/>
        <v>100</v>
      </c>
      <c r="AE1081" s="81">
        <v>0</v>
      </c>
      <c r="AF1081" s="81">
        <f t="shared" si="138"/>
        <v>1.0714285714285714</v>
      </c>
      <c r="AG1081" s="81">
        <v>0</v>
      </c>
      <c r="AH1081" s="81">
        <v>0</v>
      </c>
      <c r="AI1081" s="79" t="s">
        <v>1531</v>
      </c>
      <c r="AJ1081" s="65">
        <v>144</v>
      </c>
      <c r="AK1081" s="78">
        <v>1353</v>
      </c>
      <c r="AL1081" s="200"/>
      <c r="AM1081" s="190"/>
      <c r="AN1081" s="190"/>
      <c r="AO1081" s="190"/>
      <c r="AP1081" s="190"/>
      <c r="AQ1081" s="190"/>
      <c r="AR1081" s="190"/>
      <c r="AS1081" s="190"/>
      <c r="AT1081" s="201"/>
      <c r="AU1081" s="190"/>
      <c r="AV1081" s="202"/>
      <c r="AW1081" s="190"/>
      <c r="AX1081" s="190"/>
      <c r="AY1081" s="79">
        <v>0.01</v>
      </c>
      <c r="AZ1081" s="65">
        <v>263</v>
      </c>
      <c r="BA1081" s="78"/>
      <c r="BB1081" s="65"/>
      <c r="BC1081" s="65"/>
      <c r="BD1081" s="65"/>
      <c r="BE1081" s="65"/>
      <c r="BF1081" s="79"/>
      <c r="BG1081" s="65"/>
      <c r="BH1081" s="78"/>
      <c r="BI1081" s="65"/>
      <c r="BJ1081" s="68">
        <v>1</v>
      </c>
      <c r="BK1081" s="13"/>
    </row>
    <row r="1082" spans="1:63" ht="23.25" customHeight="1" x14ac:dyDescent="0.2">
      <c r="A1082" s="62">
        <v>1081</v>
      </c>
      <c r="B1082" s="219">
        <v>961</v>
      </c>
      <c r="C1082" s="219" t="s">
        <v>1649</v>
      </c>
      <c r="D1082" s="225" t="s">
        <v>17</v>
      </c>
      <c r="E1082" s="54"/>
      <c r="F1082" s="71">
        <f>11.6*100/14</f>
        <v>82.857142857142861</v>
      </c>
      <c r="G1082" s="72">
        <f>1.4*100/14</f>
        <v>10</v>
      </c>
      <c r="H1082" s="72">
        <v>0</v>
      </c>
      <c r="I1082" s="72">
        <v>0</v>
      </c>
      <c r="J1082" s="72">
        <v>0</v>
      </c>
      <c r="K1082" s="72">
        <v>0</v>
      </c>
      <c r="L1082" s="72">
        <v>0</v>
      </c>
      <c r="M1082" s="72">
        <v>0</v>
      </c>
      <c r="N1082" s="72">
        <v>0</v>
      </c>
      <c r="O1082" s="8">
        <v>0</v>
      </c>
      <c r="P1082" s="72">
        <v>0</v>
      </c>
      <c r="Q1082" s="72">
        <v>0</v>
      </c>
      <c r="R1082" s="72">
        <v>0</v>
      </c>
      <c r="S1082" s="73">
        <v>0</v>
      </c>
      <c r="T1082" s="72">
        <f>1*100/14</f>
        <v>7.1428571428571432</v>
      </c>
      <c r="U1082" s="72">
        <v>0</v>
      </c>
      <c r="V1082" s="72">
        <v>0</v>
      </c>
      <c r="W1082" s="72">
        <v>0</v>
      </c>
      <c r="X1082" s="72">
        <v>0</v>
      </c>
      <c r="Y1082" s="72">
        <v>0</v>
      </c>
      <c r="Z1082" s="72">
        <v>0</v>
      </c>
      <c r="AA1082" s="72">
        <v>0</v>
      </c>
      <c r="AB1082" s="72">
        <v>0</v>
      </c>
      <c r="AC1082" s="72">
        <v>0</v>
      </c>
      <c r="AD1082" s="74">
        <f t="shared" ref="AD1082" si="139">SUM(F1082:AC1082)</f>
        <v>100</v>
      </c>
      <c r="AE1082" s="72">
        <v>0</v>
      </c>
      <c r="AF1082" s="72">
        <v>0</v>
      </c>
      <c r="AG1082" s="72">
        <v>0</v>
      </c>
      <c r="AH1082" s="72">
        <v>0</v>
      </c>
      <c r="AI1082" s="39" t="s">
        <v>1527</v>
      </c>
      <c r="AJ1082" s="7">
        <v>24</v>
      </c>
      <c r="AK1082" s="62">
        <v>1323</v>
      </c>
      <c r="AL1082" s="158">
        <v>90.46</v>
      </c>
      <c r="AM1082" s="85">
        <v>9.5399999999999991</v>
      </c>
      <c r="AN1082" s="85"/>
      <c r="AO1082" s="85"/>
      <c r="AP1082" s="85"/>
      <c r="AQ1082" s="85"/>
      <c r="AR1082" s="85"/>
      <c r="AS1082" s="85"/>
      <c r="AT1082" s="205"/>
      <c r="AU1082" s="85"/>
      <c r="AV1082" s="196">
        <f t="shared" ref="AV1082:AV1083" si="140">SUM(AL1082:AT1082)</f>
        <v>100</v>
      </c>
      <c r="AW1082" s="85">
        <v>11.492000000000001</v>
      </c>
      <c r="AX1082" s="85"/>
      <c r="AY1082" s="39">
        <v>0.05</v>
      </c>
      <c r="AZ1082" s="7">
        <v>197</v>
      </c>
      <c r="BA1082" s="62"/>
      <c r="BB1082" s="7">
        <v>2</v>
      </c>
      <c r="BC1082" s="7">
        <v>11.09</v>
      </c>
      <c r="BD1082" s="7">
        <v>200</v>
      </c>
      <c r="BE1082" s="7">
        <v>14.27</v>
      </c>
      <c r="BF1082" s="39"/>
      <c r="BG1082" s="7"/>
      <c r="BH1082" s="62"/>
      <c r="BI1082" s="7"/>
      <c r="BJ1082" s="32">
        <v>1</v>
      </c>
      <c r="BK1082" s="54"/>
    </row>
    <row r="1083" spans="1:63" ht="23.25" customHeight="1" thickBot="1" x14ac:dyDescent="0.25">
      <c r="A1083" s="7">
        <v>1082</v>
      </c>
      <c r="B1083" s="221"/>
      <c r="C1083" s="221"/>
      <c r="D1083" s="223"/>
      <c r="E1083" s="54"/>
      <c r="F1083" s="71">
        <f>11.6*100/14</f>
        <v>82.857142857142861</v>
      </c>
      <c r="G1083" s="72">
        <f>1.4*100/14</f>
        <v>10</v>
      </c>
      <c r="H1083" s="72">
        <v>0</v>
      </c>
      <c r="I1083" s="72">
        <v>0</v>
      </c>
      <c r="J1083" s="72">
        <v>0</v>
      </c>
      <c r="K1083" s="72">
        <v>0</v>
      </c>
      <c r="L1083" s="72">
        <v>0</v>
      </c>
      <c r="M1083" s="72">
        <v>0</v>
      </c>
      <c r="N1083" s="72">
        <v>0</v>
      </c>
      <c r="O1083" s="8">
        <v>0</v>
      </c>
      <c r="P1083" s="72">
        <v>0</v>
      </c>
      <c r="Q1083" s="72">
        <v>0</v>
      </c>
      <c r="R1083" s="72">
        <v>0</v>
      </c>
      <c r="S1083" s="73">
        <v>0</v>
      </c>
      <c r="T1083" s="72">
        <f>1*100/14</f>
        <v>7.1428571428571432</v>
      </c>
      <c r="U1083" s="72">
        <v>0</v>
      </c>
      <c r="V1083" s="72">
        <v>0</v>
      </c>
      <c r="W1083" s="72">
        <v>0</v>
      </c>
      <c r="X1083" s="72">
        <v>0</v>
      </c>
      <c r="Y1083" s="72">
        <v>0</v>
      </c>
      <c r="Z1083" s="72">
        <v>0</v>
      </c>
      <c r="AA1083" s="72">
        <v>0</v>
      </c>
      <c r="AB1083" s="72">
        <v>0</v>
      </c>
      <c r="AC1083" s="72">
        <v>0</v>
      </c>
      <c r="AD1083" s="74">
        <f t="shared" ref="AD1083:AD1097" si="141">SUM(F1083:AC1083)</f>
        <v>100</v>
      </c>
      <c r="AE1083" s="72">
        <v>0</v>
      </c>
      <c r="AF1083" s="72">
        <v>0</v>
      </c>
      <c r="AG1083" s="72">
        <v>0</v>
      </c>
      <c r="AH1083" s="72">
        <v>0</v>
      </c>
      <c r="AI1083" s="39" t="s">
        <v>1527</v>
      </c>
      <c r="AJ1083" s="7"/>
      <c r="AK1083" s="62"/>
      <c r="AL1083" s="158">
        <v>80.53</v>
      </c>
      <c r="AM1083" s="85">
        <v>19.47</v>
      </c>
      <c r="AN1083" s="85"/>
      <c r="AO1083" s="85"/>
      <c r="AP1083" s="85"/>
      <c r="AQ1083" s="85"/>
      <c r="AR1083" s="85"/>
      <c r="AS1083" s="85"/>
      <c r="AT1083" s="205"/>
      <c r="AU1083" s="85"/>
      <c r="AV1083" s="196">
        <f t="shared" si="140"/>
        <v>100</v>
      </c>
      <c r="AW1083" s="85">
        <v>11.486000000000001</v>
      </c>
      <c r="AX1083" s="85"/>
      <c r="AY1083" s="39">
        <v>0.05</v>
      </c>
      <c r="AZ1083" s="7">
        <v>197</v>
      </c>
      <c r="BA1083" s="62"/>
      <c r="BB1083" s="7">
        <v>2</v>
      </c>
      <c r="BC1083" s="7">
        <v>8.82</v>
      </c>
      <c r="BD1083" s="7">
        <v>196</v>
      </c>
      <c r="BE1083" s="7">
        <v>24.8</v>
      </c>
      <c r="BF1083" s="39"/>
      <c r="BG1083" s="7"/>
      <c r="BH1083" s="62"/>
      <c r="BI1083" s="7"/>
      <c r="BJ1083" s="32">
        <v>1</v>
      </c>
      <c r="BK1083" s="174" t="s">
        <v>1735</v>
      </c>
    </row>
    <row r="1084" spans="1:63" s="4" customFormat="1" ht="23.25" customHeight="1" x14ac:dyDescent="0.2">
      <c r="A1084" s="62">
        <v>1083</v>
      </c>
      <c r="B1084" s="218">
        <v>962</v>
      </c>
      <c r="C1084" s="218" t="s">
        <v>1650</v>
      </c>
      <c r="D1084" s="225" t="s">
        <v>1427</v>
      </c>
      <c r="E1084" s="12" t="s">
        <v>1661</v>
      </c>
      <c r="F1084" s="87">
        <f>(11.7-0.7)*100/14</f>
        <v>78.571428571428569</v>
      </c>
      <c r="G1084" s="88">
        <f>1.3*100/14</f>
        <v>9.2857142857142865</v>
      </c>
      <c r="H1084" s="88">
        <v>0</v>
      </c>
      <c r="I1084" s="88">
        <v>0</v>
      </c>
      <c r="J1084" s="88">
        <f>0.7*100/14</f>
        <v>5</v>
      </c>
      <c r="K1084" s="88">
        <v>0</v>
      </c>
      <c r="L1084" s="88">
        <v>0</v>
      </c>
      <c r="M1084" s="88">
        <v>0</v>
      </c>
      <c r="N1084" s="88">
        <v>0</v>
      </c>
      <c r="O1084" s="88">
        <v>0</v>
      </c>
      <c r="P1084" s="88">
        <v>0</v>
      </c>
      <c r="Q1084" s="88">
        <v>0</v>
      </c>
      <c r="R1084" s="88">
        <v>0</v>
      </c>
      <c r="S1084" s="89">
        <v>0</v>
      </c>
      <c r="T1084" s="88">
        <f>1*100/14</f>
        <v>7.1428571428571432</v>
      </c>
      <c r="U1084" s="88">
        <v>0</v>
      </c>
      <c r="V1084" s="88">
        <v>0</v>
      </c>
      <c r="W1084" s="88">
        <v>0</v>
      </c>
      <c r="X1084" s="88">
        <v>0</v>
      </c>
      <c r="Y1084" s="88">
        <v>0</v>
      </c>
      <c r="Z1084" s="88">
        <v>0</v>
      </c>
      <c r="AA1084" s="88">
        <v>0</v>
      </c>
      <c r="AB1084" s="88">
        <v>0</v>
      </c>
      <c r="AC1084" s="88">
        <v>0</v>
      </c>
      <c r="AD1084" s="114">
        <f t="shared" si="141"/>
        <v>100</v>
      </c>
      <c r="AE1084" s="88">
        <v>0</v>
      </c>
      <c r="AF1084" s="88">
        <f>0.15*100/14</f>
        <v>1.0714285714285714</v>
      </c>
      <c r="AG1084" s="88">
        <v>0</v>
      </c>
      <c r="AH1084" s="88">
        <v>0</v>
      </c>
      <c r="AI1084" s="156" t="s">
        <v>1531</v>
      </c>
      <c r="AJ1084" s="45">
        <v>336</v>
      </c>
      <c r="AK1084" s="91">
        <v>1353</v>
      </c>
      <c r="AL1084" s="197"/>
      <c r="AM1084" s="189"/>
      <c r="AN1084" s="189"/>
      <c r="AO1084" s="189"/>
      <c r="AP1084" s="189"/>
      <c r="AQ1084" s="189"/>
      <c r="AR1084" s="189"/>
      <c r="AS1084" s="189"/>
      <c r="AT1084" s="198"/>
      <c r="AU1084" s="189"/>
      <c r="AV1084" s="199"/>
      <c r="AW1084" s="189"/>
      <c r="AX1084" s="189"/>
      <c r="AY1084" s="156">
        <v>0.01</v>
      </c>
      <c r="AZ1084" s="45">
        <v>291.8</v>
      </c>
      <c r="BA1084" s="91"/>
      <c r="BB1084" s="45">
        <v>2</v>
      </c>
      <c r="BC1084" s="45">
        <v>6.5</v>
      </c>
      <c r="BD1084" s="45"/>
      <c r="BE1084" s="45"/>
      <c r="BF1084" s="156"/>
      <c r="BG1084" s="45"/>
      <c r="BH1084" s="91"/>
      <c r="BI1084" s="45"/>
      <c r="BJ1084" s="67">
        <v>1</v>
      </c>
      <c r="BK1084" s="12"/>
    </row>
    <row r="1085" spans="1:63" ht="23.25" customHeight="1" x14ac:dyDescent="0.2">
      <c r="A1085" s="7">
        <v>1084</v>
      </c>
      <c r="B1085" s="221"/>
      <c r="C1085" s="221"/>
      <c r="D1085" s="223"/>
      <c r="E1085" s="54" t="s">
        <v>1670</v>
      </c>
      <c r="F1085" s="16">
        <f>(11.7-0.8)*100/14</f>
        <v>77.857142857142847</v>
      </c>
      <c r="G1085" s="8">
        <f>1.3*100/14</f>
        <v>9.2857142857142865</v>
      </c>
      <c r="H1085" s="8">
        <v>0</v>
      </c>
      <c r="I1085" s="8">
        <v>0</v>
      </c>
      <c r="J1085" s="8">
        <f>0.8*100/14</f>
        <v>5.7142857142857144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17">
        <v>0</v>
      </c>
      <c r="T1085" s="8">
        <f>1*100/14</f>
        <v>7.1428571428571432</v>
      </c>
      <c r="U1085" s="8">
        <v>0</v>
      </c>
      <c r="V1085" s="8">
        <v>0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74">
        <f t="shared" si="141"/>
        <v>99.999999999999986</v>
      </c>
      <c r="AE1085" s="8">
        <v>0</v>
      </c>
      <c r="AF1085" s="8">
        <f>0.15*100/14</f>
        <v>1.0714285714285714</v>
      </c>
      <c r="AG1085" s="8">
        <v>0</v>
      </c>
      <c r="AH1085" s="8">
        <v>0</v>
      </c>
      <c r="AI1085" s="39" t="s">
        <v>1531</v>
      </c>
      <c r="AJ1085" s="7">
        <v>336</v>
      </c>
      <c r="AK1085" s="62">
        <v>1353</v>
      </c>
      <c r="AL1085" s="158"/>
      <c r="AM1085" s="85"/>
      <c r="AN1085" s="85"/>
      <c r="AO1085" s="85"/>
      <c r="AP1085" s="85"/>
      <c r="AQ1085" s="85"/>
      <c r="AR1085" s="85"/>
      <c r="AS1085" s="85"/>
      <c r="AT1085" s="205"/>
      <c r="AU1085" s="85"/>
      <c r="AV1085" s="196"/>
      <c r="AW1085" s="85"/>
      <c r="AX1085" s="85"/>
      <c r="AY1085" s="39">
        <v>0.01</v>
      </c>
      <c r="AZ1085" s="7">
        <v>301.8</v>
      </c>
      <c r="BA1085" s="62"/>
      <c r="BB1085" s="7">
        <v>2</v>
      </c>
      <c r="BC1085" s="7">
        <v>6</v>
      </c>
      <c r="BD1085" s="7"/>
      <c r="BE1085" s="7"/>
      <c r="BF1085" s="39"/>
      <c r="BG1085" s="7"/>
      <c r="BH1085" s="62"/>
      <c r="BI1085" s="7"/>
      <c r="BJ1085" s="32">
        <v>1</v>
      </c>
      <c r="BK1085" s="54"/>
    </row>
    <row r="1086" spans="1:63" s="6" customFormat="1" ht="23.25" customHeight="1" thickBot="1" x14ac:dyDescent="0.25">
      <c r="A1086" s="62">
        <v>1085</v>
      </c>
      <c r="B1086" s="222"/>
      <c r="C1086" s="222"/>
      <c r="D1086" s="224"/>
      <c r="E1086" s="13" t="s">
        <v>1671</v>
      </c>
      <c r="F1086" s="80">
        <f>(11.7-0.9)*100/14</f>
        <v>77.142857142857139</v>
      </c>
      <c r="G1086" s="81">
        <f>1.3*100/14</f>
        <v>9.2857142857142865</v>
      </c>
      <c r="H1086" s="81">
        <v>0</v>
      </c>
      <c r="I1086" s="81">
        <v>0</v>
      </c>
      <c r="J1086" s="81">
        <f>0.9*100/14</f>
        <v>6.4285714285714288</v>
      </c>
      <c r="K1086" s="81">
        <v>0</v>
      </c>
      <c r="L1086" s="81">
        <v>0</v>
      </c>
      <c r="M1086" s="81">
        <v>0</v>
      </c>
      <c r="N1086" s="81">
        <v>0</v>
      </c>
      <c r="O1086" s="81">
        <v>0</v>
      </c>
      <c r="P1086" s="81">
        <v>0</v>
      </c>
      <c r="Q1086" s="81">
        <v>0</v>
      </c>
      <c r="R1086" s="81">
        <v>0</v>
      </c>
      <c r="S1086" s="82">
        <v>0</v>
      </c>
      <c r="T1086" s="81">
        <f>1*100/14</f>
        <v>7.1428571428571432</v>
      </c>
      <c r="U1086" s="81">
        <v>0</v>
      </c>
      <c r="V1086" s="81">
        <v>0</v>
      </c>
      <c r="W1086" s="81">
        <v>0</v>
      </c>
      <c r="X1086" s="81">
        <v>0</v>
      </c>
      <c r="Y1086" s="81">
        <v>0</v>
      </c>
      <c r="Z1086" s="81">
        <v>0</v>
      </c>
      <c r="AA1086" s="81">
        <v>0</v>
      </c>
      <c r="AB1086" s="81">
        <v>0</v>
      </c>
      <c r="AC1086" s="81">
        <v>0</v>
      </c>
      <c r="AD1086" s="116">
        <f t="shared" si="141"/>
        <v>100</v>
      </c>
      <c r="AE1086" s="81">
        <v>0</v>
      </c>
      <c r="AF1086" s="81">
        <f>0.15*100/14</f>
        <v>1.0714285714285714</v>
      </c>
      <c r="AG1086" s="81">
        <v>0</v>
      </c>
      <c r="AH1086" s="81">
        <v>0</v>
      </c>
      <c r="AI1086" s="79" t="s">
        <v>1531</v>
      </c>
      <c r="AJ1086" s="65">
        <v>336</v>
      </c>
      <c r="AK1086" s="78">
        <v>1353</v>
      </c>
      <c r="AL1086" s="200"/>
      <c r="AM1086" s="190"/>
      <c r="AN1086" s="190"/>
      <c r="AO1086" s="190"/>
      <c r="AP1086" s="190"/>
      <c r="AQ1086" s="190"/>
      <c r="AR1086" s="190"/>
      <c r="AS1086" s="190"/>
      <c r="AT1086" s="201"/>
      <c r="AU1086" s="190"/>
      <c r="AV1086" s="202"/>
      <c r="AW1086" s="190"/>
      <c r="AX1086" s="190"/>
      <c r="AY1086" s="79">
        <v>0.01</v>
      </c>
      <c r="AZ1086" s="65">
        <v>311.8</v>
      </c>
      <c r="BA1086" s="78"/>
      <c r="BB1086" s="65">
        <v>2</v>
      </c>
      <c r="BC1086" s="65">
        <v>5.4</v>
      </c>
      <c r="BD1086" s="65"/>
      <c r="BE1086" s="65"/>
      <c r="BF1086" s="79"/>
      <c r="BG1086" s="65"/>
      <c r="BH1086" s="78"/>
      <c r="BI1086" s="65"/>
      <c r="BJ1086" s="68">
        <v>1</v>
      </c>
      <c r="BK1086" s="13"/>
    </row>
    <row r="1087" spans="1:63" ht="23.25" customHeight="1" x14ac:dyDescent="0.2">
      <c r="A1087" s="7">
        <v>1086</v>
      </c>
      <c r="B1087" s="219">
        <v>965</v>
      </c>
      <c r="C1087" s="219" t="s">
        <v>1651</v>
      </c>
      <c r="D1087" s="223" t="s">
        <v>1428</v>
      </c>
      <c r="E1087" s="54" t="s">
        <v>1669</v>
      </c>
      <c r="F1087" s="16">
        <f>(13-1.2)*100/14</f>
        <v>84.285714285714292</v>
      </c>
      <c r="G1087" s="8">
        <f>1.2*100/14</f>
        <v>8.5714285714285712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17">
        <v>0</v>
      </c>
      <c r="T1087" s="8">
        <f>0.7*100/14</f>
        <v>5</v>
      </c>
      <c r="U1087" s="8">
        <f>0.3*100/14</f>
        <v>2.1428571428571428</v>
      </c>
      <c r="V1087" s="8">
        <v>0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74">
        <f t="shared" si="141"/>
        <v>100</v>
      </c>
      <c r="AE1087" s="8">
        <v>0</v>
      </c>
      <c r="AF1087" s="8">
        <v>0</v>
      </c>
      <c r="AG1087" s="8">
        <v>0</v>
      </c>
      <c r="AH1087" s="8">
        <v>0</v>
      </c>
      <c r="AI1087" s="39" t="s">
        <v>1531</v>
      </c>
      <c r="AJ1087" s="7">
        <v>96</v>
      </c>
      <c r="AK1087" s="62">
        <v>1400</v>
      </c>
      <c r="AL1087" s="158">
        <v>94</v>
      </c>
      <c r="AM1087" s="85">
        <v>6</v>
      </c>
      <c r="AN1087" s="85"/>
      <c r="AO1087" s="85"/>
      <c r="AP1087" s="85"/>
      <c r="AQ1087" s="85"/>
      <c r="AR1087" s="85"/>
      <c r="AS1087" s="85"/>
      <c r="AT1087" s="205"/>
      <c r="AU1087" s="85"/>
      <c r="AV1087" s="196">
        <f t="shared" ref="AV1087:AV1090" si="142">SUM(AL1087:AT1087)</f>
        <v>100</v>
      </c>
      <c r="AW1087" s="85">
        <v>11.45</v>
      </c>
      <c r="AX1087" s="85"/>
      <c r="AY1087" s="39">
        <v>0.2</v>
      </c>
      <c r="AZ1087" s="7">
        <v>181</v>
      </c>
      <c r="BA1087" s="62">
        <v>9</v>
      </c>
      <c r="BB1087" s="7" t="s">
        <v>1429</v>
      </c>
      <c r="BC1087" s="7" t="s">
        <v>1478</v>
      </c>
      <c r="BD1087" s="7" t="s">
        <v>1479</v>
      </c>
      <c r="BE1087" s="7" t="s">
        <v>1480</v>
      </c>
      <c r="BF1087" s="39"/>
      <c r="BG1087" s="7"/>
      <c r="BH1087" s="62"/>
      <c r="BI1087" s="7"/>
      <c r="BJ1087" s="32">
        <v>1</v>
      </c>
      <c r="BK1087" s="270" t="s">
        <v>1899</v>
      </c>
    </row>
    <row r="1088" spans="1:63" ht="23.25" customHeight="1" x14ac:dyDescent="0.2">
      <c r="A1088" s="62">
        <v>1087</v>
      </c>
      <c r="B1088" s="221"/>
      <c r="C1088" s="221"/>
      <c r="D1088" s="223"/>
      <c r="E1088" s="54" t="s">
        <v>1666</v>
      </c>
      <c r="F1088" s="16">
        <f>(13-1.4)*100/14</f>
        <v>82.857142857142861</v>
      </c>
      <c r="G1088" s="8">
        <f>1.4*100/14</f>
        <v>10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17">
        <v>0</v>
      </c>
      <c r="T1088" s="8">
        <f>0.7*100/14</f>
        <v>5</v>
      </c>
      <c r="U1088" s="8">
        <f t="shared" ref="U1088:U1090" si="143">0.3*100/14</f>
        <v>2.1428571428571428</v>
      </c>
      <c r="V1088" s="8">
        <v>0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74">
        <f t="shared" si="141"/>
        <v>100</v>
      </c>
      <c r="AE1088" s="8">
        <v>0</v>
      </c>
      <c r="AF1088" s="8">
        <v>0</v>
      </c>
      <c r="AG1088" s="8">
        <v>0</v>
      </c>
      <c r="AH1088" s="8">
        <v>0</v>
      </c>
      <c r="AI1088" s="39" t="s">
        <v>1531</v>
      </c>
      <c r="AJ1088" s="7">
        <v>96</v>
      </c>
      <c r="AK1088" s="62">
        <v>1400</v>
      </c>
      <c r="AL1088" s="158">
        <v>95.9</v>
      </c>
      <c r="AM1088" s="85">
        <v>4.0999999999999996</v>
      </c>
      <c r="AN1088" s="85"/>
      <c r="AO1088" s="85"/>
      <c r="AP1088" s="85"/>
      <c r="AQ1088" s="85"/>
      <c r="AR1088" s="85"/>
      <c r="AS1088" s="85"/>
      <c r="AT1088" s="205"/>
      <c r="AU1088" s="85"/>
      <c r="AV1088" s="196">
        <f t="shared" si="142"/>
        <v>100</v>
      </c>
      <c r="AW1088" s="85">
        <v>11.46</v>
      </c>
      <c r="AX1088" s="85"/>
      <c r="AY1088" s="39">
        <v>0.2</v>
      </c>
      <c r="AZ1088" s="7">
        <v>188</v>
      </c>
      <c r="BA1088" s="62"/>
      <c r="BB1088" s="7">
        <v>2</v>
      </c>
      <c r="BC1088" s="7">
        <v>19.2</v>
      </c>
      <c r="BD1088" s="7">
        <v>187.4</v>
      </c>
      <c r="BE1088" s="7">
        <v>10.6</v>
      </c>
      <c r="BF1088" s="39"/>
      <c r="BG1088" s="7"/>
      <c r="BH1088" s="62"/>
      <c r="BI1088" s="7"/>
      <c r="BJ1088" s="32">
        <v>1</v>
      </c>
      <c r="BK1088" s="271"/>
    </row>
    <row r="1089" spans="1:63" ht="23.25" customHeight="1" x14ac:dyDescent="0.2">
      <c r="A1089" s="7">
        <v>1088</v>
      </c>
      <c r="B1089" s="221"/>
      <c r="C1089" s="221"/>
      <c r="D1089" s="223"/>
      <c r="E1089" s="54" t="s">
        <v>1667</v>
      </c>
      <c r="F1089" s="16">
        <f>(13-1.6)*100/14</f>
        <v>81.428571428571431</v>
      </c>
      <c r="G1089" s="8">
        <f>1.6*100/14</f>
        <v>11.428571428571429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17">
        <v>0</v>
      </c>
      <c r="T1089" s="8">
        <f>0.7*100/14</f>
        <v>5</v>
      </c>
      <c r="U1089" s="8">
        <f t="shared" si="143"/>
        <v>2.1428571428571428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74">
        <f t="shared" si="141"/>
        <v>100</v>
      </c>
      <c r="AE1089" s="8">
        <v>0</v>
      </c>
      <c r="AF1089" s="8">
        <v>0</v>
      </c>
      <c r="AG1089" s="8">
        <v>0</v>
      </c>
      <c r="AH1089" s="8">
        <v>0</v>
      </c>
      <c r="AI1089" s="39" t="s">
        <v>1531</v>
      </c>
      <c r="AJ1089" s="7">
        <v>96</v>
      </c>
      <c r="AK1089" s="62">
        <v>1400</v>
      </c>
      <c r="AL1089" s="158">
        <v>97.9</v>
      </c>
      <c r="AM1089" s="85">
        <v>2.1</v>
      </c>
      <c r="AN1089" s="85"/>
      <c r="AO1089" s="85"/>
      <c r="AP1089" s="85"/>
      <c r="AQ1089" s="85"/>
      <c r="AR1089" s="85"/>
      <c r="AS1089" s="85"/>
      <c r="AT1089" s="205"/>
      <c r="AU1089" s="85"/>
      <c r="AV1089" s="196">
        <f t="shared" si="142"/>
        <v>100</v>
      </c>
      <c r="AW1089" s="85">
        <v>11.45</v>
      </c>
      <c r="AX1089" s="85"/>
      <c r="AY1089" s="39">
        <v>0.2</v>
      </c>
      <c r="AZ1089" s="7">
        <v>197</v>
      </c>
      <c r="BA1089" s="62"/>
      <c r="BB1089" s="7">
        <v>2</v>
      </c>
      <c r="BC1089" s="7">
        <v>13</v>
      </c>
      <c r="BD1089" s="7">
        <v>197.6</v>
      </c>
      <c r="BE1089" s="7">
        <v>11.9</v>
      </c>
      <c r="BF1089" s="39"/>
      <c r="BG1089" s="7"/>
      <c r="BH1089" s="62"/>
      <c r="BI1089" s="7"/>
      <c r="BJ1089" s="32">
        <v>1</v>
      </c>
      <c r="BK1089" s="271"/>
    </row>
    <row r="1090" spans="1:63" ht="23.25" customHeight="1" thickBot="1" x14ac:dyDescent="0.25">
      <c r="A1090" s="62">
        <v>1089</v>
      </c>
      <c r="B1090" s="221"/>
      <c r="C1090" s="221"/>
      <c r="D1090" s="223"/>
      <c r="E1090" s="54" t="s">
        <v>1668</v>
      </c>
      <c r="F1090" s="16">
        <f>(13-1.8)*100/14</f>
        <v>80</v>
      </c>
      <c r="G1090" s="8">
        <f>1.8*100/14</f>
        <v>12.857142857142858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17">
        <v>0</v>
      </c>
      <c r="T1090" s="8">
        <f>0.7*100/14</f>
        <v>5</v>
      </c>
      <c r="U1090" s="8">
        <f t="shared" si="143"/>
        <v>2.1428571428571428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74">
        <f t="shared" si="141"/>
        <v>100</v>
      </c>
      <c r="AE1090" s="8">
        <v>0</v>
      </c>
      <c r="AF1090" s="8">
        <v>0</v>
      </c>
      <c r="AG1090" s="8">
        <v>0</v>
      </c>
      <c r="AH1090" s="8">
        <v>0</v>
      </c>
      <c r="AI1090" s="39" t="s">
        <v>1531</v>
      </c>
      <c r="AJ1090" s="7">
        <v>96</v>
      </c>
      <c r="AK1090" s="62">
        <v>1400</v>
      </c>
      <c r="AL1090" s="158">
        <v>98.8</v>
      </c>
      <c r="AM1090" s="85">
        <v>1.2</v>
      </c>
      <c r="AN1090" s="85"/>
      <c r="AO1090" s="85"/>
      <c r="AP1090" s="85"/>
      <c r="AQ1090" s="85"/>
      <c r="AR1090" s="85"/>
      <c r="AS1090" s="85"/>
      <c r="AT1090" s="205"/>
      <c r="AU1090" s="85"/>
      <c r="AV1090" s="196">
        <f t="shared" si="142"/>
        <v>100</v>
      </c>
      <c r="AW1090" s="85">
        <v>11.45</v>
      </c>
      <c r="AX1090" s="85"/>
      <c r="AY1090" s="39">
        <v>0.2</v>
      </c>
      <c r="AZ1090" s="7">
        <v>213</v>
      </c>
      <c r="BA1090" s="62">
        <v>5</v>
      </c>
      <c r="BB1090" s="7" t="s">
        <v>1429</v>
      </c>
      <c r="BC1090" s="7" t="s">
        <v>1481</v>
      </c>
      <c r="BD1090" s="7" t="s">
        <v>1482</v>
      </c>
      <c r="BE1090" s="7" t="s">
        <v>1483</v>
      </c>
      <c r="BF1090" s="39"/>
      <c r="BG1090" s="7"/>
      <c r="BH1090" s="62"/>
      <c r="BI1090" s="7"/>
      <c r="BJ1090" s="32">
        <v>1</v>
      </c>
      <c r="BK1090" s="272"/>
    </row>
    <row r="1091" spans="1:63" s="19" customFormat="1" ht="23.25" customHeight="1" thickBot="1" x14ac:dyDescent="0.25">
      <c r="A1091" s="7">
        <v>1090</v>
      </c>
      <c r="B1091" s="108">
        <v>966</v>
      </c>
      <c r="C1091" s="108" t="s">
        <v>1652</v>
      </c>
      <c r="D1091" s="21" t="s">
        <v>169</v>
      </c>
      <c r="E1091" s="21"/>
      <c r="F1091" s="99">
        <f>11.5*100/14</f>
        <v>82.142857142857139</v>
      </c>
      <c r="G1091" s="100">
        <f>1.5*100/14</f>
        <v>10.714285714285714</v>
      </c>
      <c r="H1091" s="100">
        <v>0</v>
      </c>
      <c r="I1091" s="100">
        <v>0</v>
      </c>
      <c r="J1091" s="100">
        <v>0</v>
      </c>
      <c r="K1091" s="100">
        <v>0</v>
      </c>
      <c r="L1091" s="100">
        <v>0</v>
      </c>
      <c r="M1091" s="100">
        <v>0</v>
      </c>
      <c r="N1091" s="100">
        <v>0</v>
      </c>
      <c r="O1091" s="100">
        <v>0</v>
      </c>
      <c r="P1091" s="100">
        <v>0</v>
      </c>
      <c r="Q1091" s="100">
        <v>0</v>
      </c>
      <c r="R1091" s="100">
        <v>0</v>
      </c>
      <c r="S1091" s="101">
        <v>0</v>
      </c>
      <c r="T1091" s="100">
        <f>1*100/14</f>
        <v>7.1428571428571432</v>
      </c>
      <c r="U1091" s="100">
        <v>0</v>
      </c>
      <c r="V1091" s="100">
        <v>0</v>
      </c>
      <c r="W1091" s="100">
        <v>0</v>
      </c>
      <c r="X1091" s="100">
        <v>0</v>
      </c>
      <c r="Y1091" s="100">
        <v>0</v>
      </c>
      <c r="Z1091" s="100">
        <v>0</v>
      </c>
      <c r="AA1091" s="100">
        <v>0</v>
      </c>
      <c r="AB1091" s="100">
        <v>0</v>
      </c>
      <c r="AC1091" s="100">
        <v>0</v>
      </c>
      <c r="AD1091" s="115">
        <f t="shared" si="141"/>
        <v>99.999999999999986</v>
      </c>
      <c r="AE1091" s="100">
        <v>0</v>
      </c>
      <c r="AF1091" s="100">
        <f>0.2*100/14</f>
        <v>1.4285714285714286</v>
      </c>
      <c r="AG1091" s="100">
        <v>0</v>
      </c>
      <c r="AH1091" s="100">
        <v>0</v>
      </c>
      <c r="AI1091" s="120" t="s">
        <v>1531</v>
      </c>
      <c r="AJ1091" s="98">
        <v>72</v>
      </c>
      <c r="AK1091" s="105">
        <v>1373</v>
      </c>
      <c r="AL1091" s="206"/>
      <c r="AM1091" s="194"/>
      <c r="AN1091" s="194"/>
      <c r="AO1091" s="194"/>
      <c r="AP1091" s="194"/>
      <c r="AQ1091" s="194"/>
      <c r="AR1091" s="194"/>
      <c r="AS1091" s="194"/>
      <c r="AT1091" s="207"/>
      <c r="AU1091" s="194"/>
      <c r="AV1091" s="208"/>
      <c r="AW1091" s="194"/>
      <c r="AX1091" s="194"/>
      <c r="AY1091" s="120"/>
      <c r="AZ1091" s="98">
        <v>220</v>
      </c>
      <c r="BA1091" s="105"/>
      <c r="BB1091" s="98">
        <v>3</v>
      </c>
      <c r="BC1091" s="98">
        <v>18.399999999999999</v>
      </c>
      <c r="BD1091" s="98">
        <v>217.5</v>
      </c>
      <c r="BE1091" s="98">
        <v>13</v>
      </c>
      <c r="BF1091" s="120"/>
      <c r="BG1091" s="98"/>
      <c r="BH1091" s="105"/>
      <c r="BI1091" s="98"/>
      <c r="BJ1091" s="70">
        <v>1</v>
      </c>
      <c r="BK1091" s="21"/>
    </row>
    <row r="1092" spans="1:63" ht="30.75" thickBot="1" x14ac:dyDescent="0.25">
      <c r="A1092" s="62">
        <v>1091</v>
      </c>
      <c r="B1092" s="110">
        <v>967</v>
      </c>
      <c r="C1092" s="110" t="s">
        <v>1653</v>
      </c>
      <c r="D1092" s="54" t="s">
        <v>1430</v>
      </c>
      <c r="E1092" s="54"/>
      <c r="F1092" s="16">
        <f>11*100/14.7</f>
        <v>74.829931972789126</v>
      </c>
      <c r="G1092" s="8">
        <f>1.2*100/14.7</f>
        <v>8.1632653061224492</v>
      </c>
      <c r="H1092" s="8">
        <f>0</f>
        <v>0</v>
      </c>
      <c r="I1092" s="8">
        <v>0</v>
      </c>
      <c r="J1092" s="8">
        <f>0.8*100/14.7</f>
        <v>5.4421768707482991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17">
        <v>0</v>
      </c>
      <c r="T1092" s="8">
        <f>1.7*100/14.7</f>
        <v>11.564625850340137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74">
        <f t="shared" si="141"/>
        <v>100.00000000000001</v>
      </c>
      <c r="AE1092" s="8">
        <v>0</v>
      </c>
      <c r="AF1092" s="8">
        <v>0</v>
      </c>
      <c r="AG1092" s="8">
        <v>0</v>
      </c>
      <c r="AH1092" s="8">
        <v>0</v>
      </c>
      <c r="AI1092" s="39" t="s">
        <v>1531</v>
      </c>
      <c r="AJ1092" s="7">
        <v>24</v>
      </c>
      <c r="AK1092" s="62">
        <v>1323</v>
      </c>
      <c r="AL1092" s="158"/>
      <c r="AM1092" s="85"/>
      <c r="AN1092" s="85"/>
      <c r="AO1092" s="85"/>
      <c r="AP1092" s="85"/>
      <c r="AQ1092" s="85"/>
      <c r="AR1092" s="85"/>
      <c r="AS1092" s="85"/>
      <c r="AT1092" s="205"/>
      <c r="AU1092" s="85"/>
      <c r="AV1092" s="196"/>
      <c r="AW1092" s="85"/>
      <c r="AX1092" s="85"/>
      <c r="AY1092" s="39">
        <v>0.05</v>
      </c>
      <c r="AZ1092" s="7">
        <v>271</v>
      </c>
      <c r="BA1092" s="62">
        <v>0</v>
      </c>
      <c r="BB1092" s="7" t="s">
        <v>1195</v>
      </c>
      <c r="BC1092" s="7" t="s">
        <v>1475</v>
      </c>
      <c r="BD1092" s="7" t="s">
        <v>1477</v>
      </c>
      <c r="BE1092" s="7" t="s">
        <v>1476</v>
      </c>
      <c r="BF1092" s="39"/>
      <c r="BG1092" s="7"/>
      <c r="BH1092" s="62"/>
      <c r="BI1092" s="7"/>
      <c r="BJ1092" s="32">
        <v>1</v>
      </c>
      <c r="BK1092" s="172" t="s">
        <v>1734</v>
      </c>
    </row>
    <row r="1093" spans="1:63" s="19" customFormat="1" ht="23.25" customHeight="1" thickBot="1" x14ac:dyDescent="0.25">
      <c r="A1093" s="7">
        <v>1092</v>
      </c>
      <c r="B1093" s="108">
        <v>969</v>
      </c>
      <c r="C1093" s="108" t="s">
        <v>1654</v>
      </c>
      <c r="D1093" s="21" t="s">
        <v>17</v>
      </c>
      <c r="E1093" s="21"/>
      <c r="F1093" s="99">
        <f>11.6*100/14</f>
        <v>82.857142857142861</v>
      </c>
      <c r="G1093" s="100">
        <f>1.4*100/14</f>
        <v>10</v>
      </c>
      <c r="H1093" s="100">
        <v>0</v>
      </c>
      <c r="I1093" s="100">
        <v>0</v>
      </c>
      <c r="J1093" s="100">
        <v>0</v>
      </c>
      <c r="K1093" s="100">
        <v>0</v>
      </c>
      <c r="L1093" s="100">
        <v>0</v>
      </c>
      <c r="M1093" s="100">
        <v>0</v>
      </c>
      <c r="N1093" s="100">
        <v>0</v>
      </c>
      <c r="O1093" s="100">
        <v>0</v>
      </c>
      <c r="P1093" s="100">
        <v>0</v>
      </c>
      <c r="Q1093" s="100">
        <v>0</v>
      </c>
      <c r="R1093" s="100">
        <v>0</v>
      </c>
      <c r="S1093" s="101">
        <v>0</v>
      </c>
      <c r="T1093" s="100">
        <f>1*100/14</f>
        <v>7.1428571428571432</v>
      </c>
      <c r="U1093" s="100">
        <v>0</v>
      </c>
      <c r="V1093" s="100">
        <v>0</v>
      </c>
      <c r="W1093" s="100">
        <v>0</v>
      </c>
      <c r="X1093" s="100">
        <v>0</v>
      </c>
      <c r="Y1093" s="100">
        <v>0</v>
      </c>
      <c r="Z1093" s="100">
        <v>0</v>
      </c>
      <c r="AA1093" s="100">
        <v>0</v>
      </c>
      <c r="AB1093" s="100">
        <v>0</v>
      </c>
      <c r="AC1093" s="100">
        <v>0</v>
      </c>
      <c r="AD1093" s="115">
        <f t="shared" si="141"/>
        <v>100</v>
      </c>
      <c r="AE1093" s="100">
        <v>0</v>
      </c>
      <c r="AF1093" s="100">
        <v>0</v>
      </c>
      <c r="AG1093" s="100">
        <v>0</v>
      </c>
      <c r="AH1093" s="100">
        <v>0</v>
      </c>
      <c r="AI1093" s="120" t="s">
        <v>1531</v>
      </c>
      <c r="AJ1093" s="98">
        <v>168</v>
      </c>
      <c r="AK1093" s="105">
        <v>1323</v>
      </c>
      <c r="AL1093" s="206"/>
      <c r="AM1093" s="194"/>
      <c r="AN1093" s="194"/>
      <c r="AO1093" s="194"/>
      <c r="AP1093" s="194"/>
      <c r="AQ1093" s="194"/>
      <c r="AR1093" s="194"/>
      <c r="AS1093" s="194"/>
      <c r="AT1093" s="207"/>
      <c r="AU1093" s="194"/>
      <c r="AV1093" s="208"/>
      <c r="AW1093" s="194"/>
      <c r="AX1093" s="194"/>
      <c r="AY1093" s="120"/>
      <c r="AZ1093" s="98"/>
      <c r="BA1093" s="105"/>
      <c r="BB1093" s="98">
        <v>2</v>
      </c>
      <c r="BC1093" s="98">
        <v>24.7</v>
      </c>
      <c r="BD1093" s="98">
        <v>189.2</v>
      </c>
      <c r="BE1093" s="98">
        <v>9</v>
      </c>
      <c r="BF1093" s="120"/>
      <c r="BG1093" s="98"/>
      <c r="BH1093" s="105"/>
      <c r="BI1093" s="98"/>
      <c r="BJ1093" s="70">
        <v>1</v>
      </c>
      <c r="BK1093" s="21"/>
    </row>
    <row r="1094" spans="1:63" ht="23.25" customHeight="1" thickBot="1" x14ac:dyDescent="0.25">
      <c r="A1094" s="62">
        <v>1093</v>
      </c>
      <c r="B1094" s="110">
        <v>971</v>
      </c>
      <c r="C1094" s="110" t="s">
        <v>1855</v>
      </c>
      <c r="D1094" s="54" t="s">
        <v>1431</v>
      </c>
      <c r="E1094" s="54"/>
      <c r="F1094" s="16">
        <f>(11.9*0.92)*100/14</f>
        <v>78.2</v>
      </c>
      <c r="G1094" s="8">
        <f>1.1*100/14</f>
        <v>7.8571428571428585</v>
      </c>
      <c r="H1094" s="8">
        <v>0</v>
      </c>
      <c r="I1094" s="8">
        <v>0</v>
      </c>
      <c r="J1094" s="8">
        <f>0.08*11.9*100/14</f>
        <v>6.8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17">
        <v>0</v>
      </c>
      <c r="T1094" s="8">
        <f>1*100/14</f>
        <v>7.1428571428571432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74">
        <f t="shared" si="141"/>
        <v>100</v>
      </c>
      <c r="AE1094" s="8">
        <v>0</v>
      </c>
      <c r="AF1094" s="8">
        <v>0</v>
      </c>
      <c r="AG1094" s="8">
        <v>0</v>
      </c>
      <c r="AH1094" s="8">
        <v>0</v>
      </c>
      <c r="AI1094" s="39" t="s">
        <v>1531</v>
      </c>
      <c r="AJ1094" s="7">
        <v>720</v>
      </c>
      <c r="AK1094" s="62">
        <v>1353</v>
      </c>
      <c r="AL1094" s="158"/>
      <c r="AM1094" s="85"/>
      <c r="AN1094" s="85"/>
      <c r="AO1094" s="85"/>
      <c r="AP1094" s="85"/>
      <c r="AQ1094" s="85"/>
      <c r="AR1094" s="85"/>
      <c r="AS1094" s="85"/>
      <c r="AT1094" s="205"/>
      <c r="AU1094" s="85"/>
      <c r="AV1094" s="196"/>
      <c r="AW1094" s="85"/>
      <c r="AX1094" s="85"/>
      <c r="AY1094" s="39">
        <v>1</v>
      </c>
      <c r="AZ1094" s="7">
        <v>304</v>
      </c>
      <c r="BA1094" s="62"/>
      <c r="BB1094" s="7" t="s">
        <v>523</v>
      </c>
      <c r="BC1094" s="7" t="s">
        <v>1472</v>
      </c>
      <c r="BD1094" s="7" t="s">
        <v>1473</v>
      </c>
      <c r="BE1094" s="7" t="s">
        <v>1474</v>
      </c>
      <c r="BF1094" s="39"/>
      <c r="BG1094" s="7"/>
      <c r="BH1094" s="62"/>
      <c r="BI1094" s="7"/>
      <c r="BJ1094" s="32">
        <v>1</v>
      </c>
      <c r="BK1094" s="54"/>
    </row>
    <row r="1095" spans="1:63" s="4" customFormat="1" ht="23.25" customHeight="1" x14ac:dyDescent="0.2">
      <c r="A1095" s="7">
        <v>1094</v>
      </c>
      <c r="B1095" s="218">
        <v>972</v>
      </c>
      <c r="C1095" s="218" t="s">
        <v>1655</v>
      </c>
      <c r="D1095" s="12" t="s">
        <v>1432</v>
      </c>
      <c r="E1095" s="12"/>
      <c r="F1095" s="87">
        <f>11.5*100/14</f>
        <v>82.142857142857139</v>
      </c>
      <c r="G1095" s="88">
        <f>1.5*100/14</f>
        <v>10.714285714285714</v>
      </c>
      <c r="H1095" s="88">
        <v>0</v>
      </c>
      <c r="I1095" s="88">
        <v>0</v>
      </c>
      <c r="J1095" s="88">
        <v>0</v>
      </c>
      <c r="K1095" s="88">
        <v>0</v>
      </c>
      <c r="L1095" s="88">
        <v>0</v>
      </c>
      <c r="M1095" s="88">
        <v>0</v>
      </c>
      <c r="N1095" s="88">
        <v>0</v>
      </c>
      <c r="O1095" s="88">
        <v>0</v>
      </c>
      <c r="P1095" s="88">
        <v>0</v>
      </c>
      <c r="Q1095" s="88">
        <v>0</v>
      </c>
      <c r="R1095" s="88">
        <v>0</v>
      </c>
      <c r="S1095" s="89">
        <v>0</v>
      </c>
      <c r="T1095" s="88">
        <f>1*100/14</f>
        <v>7.1428571428571432</v>
      </c>
      <c r="U1095" s="88">
        <v>0</v>
      </c>
      <c r="V1095" s="88">
        <v>0</v>
      </c>
      <c r="W1095" s="88">
        <v>0</v>
      </c>
      <c r="X1095" s="88">
        <v>0</v>
      </c>
      <c r="Y1095" s="88">
        <v>0</v>
      </c>
      <c r="Z1095" s="88">
        <v>0</v>
      </c>
      <c r="AA1095" s="88">
        <v>0</v>
      </c>
      <c r="AB1095" s="88">
        <v>0</v>
      </c>
      <c r="AC1095" s="88">
        <v>0</v>
      </c>
      <c r="AD1095" s="114">
        <f t="shared" si="141"/>
        <v>99.999999999999986</v>
      </c>
      <c r="AE1095" s="88">
        <v>0</v>
      </c>
      <c r="AF1095" s="88">
        <f>0.15*100/14</f>
        <v>1.0714285714285714</v>
      </c>
      <c r="AG1095" s="88">
        <v>0</v>
      </c>
      <c r="AH1095" s="88">
        <v>0</v>
      </c>
      <c r="AI1095" s="156" t="s">
        <v>1531</v>
      </c>
      <c r="AJ1095" s="45">
        <f>7*24</f>
        <v>168</v>
      </c>
      <c r="AK1095" s="91">
        <v>1353</v>
      </c>
      <c r="AL1095" s="197"/>
      <c r="AM1095" s="189"/>
      <c r="AN1095" s="189"/>
      <c r="AO1095" s="189"/>
      <c r="AP1095" s="189"/>
      <c r="AQ1095" s="189"/>
      <c r="AR1095" s="189"/>
      <c r="AS1095" s="189"/>
      <c r="AT1095" s="198"/>
      <c r="AU1095" s="189"/>
      <c r="AV1095" s="199"/>
      <c r="AW1095" s="189"/>
      <c r="AX1095" s="189"/>
      <c r="AY1095" s="156">
        <v>0.01</v>
      </c>
      <c r="AZ1095" s="45">
        <v>223</v>
      </c>
      <c r="BA1095" s="91"/>
      <c r="BB1095" s="45">
        <v>1.5</v>
      </c>
      <c r="BC1095" s="45">
        <v>10.4</v>
      </c>
      <c r="BD1095" s="45">
        <v>222.5</v>
      </c>
      <c r="BE1095" s="45">
        <v>10</v>
      </c>
      <c r="BF1095" s="156"/>
      <c r="BG1095" s="45"/>
      <c r="BH1095" s="91"/>
      <c r="BI1095" s="45"/>
      <c r="BJ1095" s="67">
        <v>1</v>
      </c>
      <c r="BK1095" s="12"/>
    </row>
    <row r="1096" spans="1:63" ht="23.25" customHeight="1" x14ac:dyDescent="0.2">
      <c r="A1096" s="62">
        <v>1095</v>
      </c>
      <c r="B1096" s="221"/>
      <c r="C1096" s="221"/>
      <c r="D1096" s="54" t="s">
        <v>1433</v>
      </c>
      <c r="E1096" s="54"/>
      <c r="F1096" s="16">
        <f>11.6*100/14.1</f>
        <v>82.269503546099287</v>
      </c>
      <c r="G1096" s="8">
        <f>1.5*100/14.1</f>
        <v>10.638297872340425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17">
        <v>0</v>
      </c>
      <c r="T1096" s="8">
        <f>1*100/14.1</f>
        <v>7.0921985815602842</v>
      </c>
      <c r="U1096" s="8">
        <v>0</v>
      </c>
      <c r="V1096" s="8">
        <v>0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14">
        <f t="shared" si="141"/>
        <v>100</v>
      </c>
      <c r="AE1096" s="8">
        <v>0</v>
      </c>
      <c r="AF1096" s="8">
        <f>0.15*100/14.1</f>
        <v>1.0638297872340425</v>
      </c>
      <c r="AG1096" s="8">
        <v>0</v>
      </c>
      <c r="AH1096" s="8">
        <v>0</v>
      </c>
      <c r="AI1096" s="39" t="s">
        <v>1531</v>
      </c>
      <c r="AJ1096" s="7">
        <v>168</v>
      </c>
      <c r="AK1096" s="62">
        <v>1353</v>
      </c>
      <c r="AL1096" s="158"/>
      <c r="AM1096" s="85"/>
      <c r="AN1096" s="85"/>
      <c r="AO1096" s="85"/>
      <c r="AP1096" s="85"/>
      <c r="AQ1096" s="85"/>
      <c r="AR1096" s="85"/>
      <c r="AS1096" s="85"/>
      <c r="AT1096" s="205"/>
      <c r="AU1096" s="85"/>
      <c r="AV1096" s="196"/>
      <c r="AW1096" s="85"/>
      <c r="AX1096" s="85"/>
      <c r="AY1096" s="39">
        <v>0.01</v>
      </c>
      <c r="AZ1096" s="7">
        <v>227</v>
      </c>
      <c r="BA1096" s="62"/>
      <c r="BB1096" s="7">
        <v>1.5</v>
      </c>
      <c r="BC1096" s="7">
        <v>8.6</v>
      </c>
      <c r="BD1096" s="7">
        <v>226.5</v>
      </c>
      <c r="BE1096" s="7">
        <v>12.7</v>
      </c>
      <c r="BF1096" s="39"/>
      <c r="BG1096" s="7"/>
      <c r="BH1096" s="62"/>
      <c r="BI1096" s="7"/>
      <c r="BJ1096" s="32">
        <v>1</v>
      </c>
      <c r="BK1096" s="54"/>
    </row>
    <row r="1097" spans="1:63" s="6" customFormat="1" ht="23.25" customHeight="1" thickBot="1" x14ac:dyDescent="0.25">
      <c r="A1097" s="7">
        <v>1096</v>
      </c>
      <c r="B1097" s="222"/>
      <c r="C1097" s="222"/>
      <c r="D1097" s="13" t="s">
        <v>1434</v>
      </c>
      <c r="E1097" s="13"/>
      <c r="F1097" s="80">
        <f>11.5*100/14.1</f>
        <v>81.560283687943269</v>
      </c>
      <c r="G1097" s="81">
        <f>1.5*100/14.1</f>
        <v>10.638297872340425</v>
      </c>
      <c r="H1097" s="81">
        <v>0</v>
      </c>
      <c r="I1097" s="81">
        <v>0</v>
      </c>
      <c r="J1097" s="81">
        <v>0</v>
      </c>
      <c r="K1097" s="81">
        <v>0</v>
      </c>
      <c r="L1097" s="81">
        <v>0</v>
      </c>
      <c r="M1097" s="81">
        <v>0</v>
      </c>
      <c r="N1097" s="81">
        <v>0</v>
      </c>
      <c r="O1097" s="81">
        <f>0.1*100/14.1</f>
        <v>0.70921985815602839</v>
      </c>
      <c r="P1097" s="81">
        <v>0</v>
      </c>
      <c r="Q1097" s="81">
        <v>0</v>
      </c>
      <c r="R1097" s="81">
        <v>0</v>
      </c>
      <c r="S1097" s="82">
        <v>0</v>
      </c>
      <c r="T1097" s="81">
        <f>1*100/14.1</f>
        <v>7.0921985815602842</v>
      </c>
      <c r="U1097" s="81">
        <v>0</v>
      </c>
      <c r="V1097" s="81">
        <v>0</v>
      </c>
      <c r="W1097" s="81">
        <v>0</v>
      </c>
      <c r="X1097" s="81">
        <v>0</v>
      </c>
      <c r="Y1097" s="81">
        <v>0</v>
      </c>
      <c r="Z1097" s="81">
        <v>0</v>
      </c>
      <c r="AA1097" s="81">
        <v>0</v>
      </c>
      <c r="AB1097" s="81">
        <v>0</v>
      </c>
      <c r="AC1097" s="81">
        <v>0</v>
      </c>
      <c r="AD1097" s="83">
        <f t="shared" si="141"/>
        <v>100.00000000000001</v>
      </c>
      <c r="AE1097" s="81">
        <v>0</v>
      </c>
      <c r="AF1097" s="81">
        <f>0.15*100/14</f>
        <v>1.0714285714285714</v>
      </c>
      <c r="AG1097" s="81">
        <v>0</v>
      </c>
      <c r="AH1097" s="81">
        <v>0</v>
      </c>
      <c r="AI1097" s="79" t="s">
        <v>1531</v>
      </c>
      <c r="AJ1097" s="65">
        <v>168</v>
      </c>
      <c r="AK1097" s="78">
        <v>1353</v>
      </c>
      <c r="AL1097" s="200"/>
      <c r="AM1097" s="190"/>
      <c r="AN1097" s="190"/>
      <c r="AO1097" s="190"/>
      <c r="AP1097" s="190"/>
      <c r="AQ1097" s="190"/>
      <c r="AR1097" s="190"/>
      <c r="AS1097" s="190"/>
      <c r="AT1097" s="201"/>
      <c r="AU1097" s="190"/>
      <c r="AV1097" s="202"/>
      <c r="AW1097" s="190"/>
      <c r="AX1097" s="190"/>
      <c r="AY1097" s="79">
        <v>0.01</v>
      </c>
      <c r="AZ1097" s="65">
        <v>212</v>
      </c>
      <c r="BA1097" s="78"/>
      <c r="BB1097" s="65">
        <v>1.5</v>
      </c>
      <c r="BC1097" s="65">
        <v>12</v>
      </c>
      <c r="BD1097" s="65">
        <v>210.9</v>
      </c>
      <c r="BE1097" s="65">
        <v>8.6999999999999993</v>
      </c>
      <c r="BF1097" s="79"/>
      <c r="BG1097" s="65"/>
      <c r="BH1097" s="78"/>
      <c r="BI1097" s="65"/>
      <c r="BJ1097" s="68">
        <v>1</v>
      </c>
      <c r="BK1097" s="13"/>
    </row>
    <row r="1098" spans="1:63" ht="23.25" customHeight="1" x14ac:dyDescent="0.2">
      <c r="A1098" s="62">
        <v>1097</v>
      </c>
      <c r="B1098" s="218">
        <v>980</v>
      </c>
      <c r="C1098" s="218" t="s">
        <v>1656</v>
      </c>
      <c r="D1098" s="242" t="s">
        <v>1435</v>
      </c>
      <c r="E1098" s="54" t="s">
        <v>1662</v>
      </c>
      <c r="F1098" s="16">
        <f>(11.5-0.1)*100/14</f>
        <v>81.428571428571431</v>
      </c>
      <c r="G1098" s="8">
        <f t="shared" ref="G1098:G1104" si="144">1.5*100/14</f>
        <v>10.714285714285714</v>
      </c>
      <c r="H1098" s="8">
        <f>0</f>
        <v>0</v>
      </c>
      <c r="I1098" s="8">
        <v>0</v>
      </c>
      <c r="J1098" s="8">
        <v>0</v>
      </c>
      <c r="K1098" s="8">
        <v>0</v>
      </c>
      <c r="L1098" s="8">
        <f>0.1*100/14</f>
        <v>0.7142857142857143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17">
        <v>0</v>
      </c>
      <c r="T1098" s="8">
        <f>1*100/14</f>
        <v>7.1428571428571432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14">
        <f t="shared" ref="AD1098:AD1099" si="145">SUM(F1098:AC1098)</f>
        <v>99.999999999999986</v>
      </c>
      <c r="AE1098" s="8">
        <v>0</v>
      </c>
      <c r="AF1098" s="8">
        <v>0</v>
      </c>
      <c r="AG1098" s="8">
        <v>0</v>
      </c>
      <c r="AH1098" s="8">
        <v>0</v>
      </c>
      <c r="AI1098" s="39" t="s">
        <v>1531</v>
      </c>
      <c r="AJ1098" s="7">
        <f>15*24</f>
        <v>360</v>
      </c>
      <c r="AK1098" s="62">
        <v>1393</v>
      </c>
      <c r="AL1098" s="158"/>
      <c r="AM1098" s="85"/>
      <c r="AN1098" s="85"/>
      <c r="AO1098" s="85"/>
      <c r="AP1098" s="85"/>
      <c r="AQ1098" s="85"/>
      <c r="AR1098" s="85"/>
      <c r="AS1098" s="85"/>
      <c r="AT1098" s="205"/>
      <c r="AU1098" s="85"/>
      <c r="AV1098" s="196"/>
      <c r="AW1098" s="85">
        <v>11.475</v>
      </c>
      <c r="AX1098" s="85"/>
      <c r="AY1098" s="39">
        <v>0.01</v>
      </c>
      <c r="AZ1098" s="7">
        <v>189</v>
      </c>
      <c r="BA1098" s="62"/>
      <c r="BB1098" s="7">
        <v>5</v>
      </c>
      <c r="BC1098" s="7">
        <v>21.2</v>
      </c>
      <c r="BD1098" s="7">
        <v>194.8</v>
      </c>
      <c r="BE1098" s="7">
        <v>20.87</v>
      </c>
      <c r="BF1098" s="39"/>
      <c r="BG1098" s="7"/>
      <c r="BH1098" s="62"/>
      <c r="BI1098" s="7"/>
      <c r="BJ1098" s="32">
        <v>1</v>
      </c>
      <c r="BK1098" s="54"/>
    </row>
    <row r="1099" spans="1:63" ht="23.25" customHeight="1" x14ac:dyDescent="0.2">
      <c r="A1099" s="7">
        <v>1098</v>
      </c>
      <c r="B1099" s="221"/>
      <c r="C1099" s="221"/>
      <c r="D1099" s="241"/>
      <c r="E1099" s="54" t="s">
        <v>1665</v>
      </c>
      <c r="F1099" s="16">
        <f>(11.5-0.15)*100/14</f>
        <v>81.071428571428569</v>
      </c>
      <c r="G1099" s="8">
        <f t="shared" si="144"/>
        <v>10.714285714285714</v>
      </c>
      <c r="H1099" s="8">
        <f>0</f>
        <v>0</v>
      </c>
      <c r="I1099" s="8">
        <f>0</f>
        <v>0</v>
      </c>
      <c r="J1099" s="8">
        <f>0</f>
        <v>0</v>
      </c>
      <c r="K1099" s="8">
        <f>0</f>
        <v>0</v>
      </c>
      <c r="L1099" s="8">
        <f>0.15*100/14</f>
        <v>1.0714285714285714</v>
      </c>
      <c r="M1099" s="8">
        <f>0</f>
        <v>0</v>
      </c>
      <c r="N1099" s="8">
        <f>0</f>
        <v>0</v>
      </c>
      <c r="O1099" s="8">
        <f>0</f>
        <v>0</v>
      </c>
      <c r="P1099" s="8">
        <f>0</f>
        <v>0</v>
      </c>
      <c r="Q1099" s="8">
        <f>0</f>
        <v>0</v>
      </c>
      <c r="R1099" s="8">
        <f>0</f>
        <v>0</v>
      </c>
      <c r="S1099" s="17">
        <f>0</f>
        <v>0</v>
      </c>
      <c r="T1099" s="8">
        <f>1*100/14</f>
        <v>7.1428571428571432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14">
        <f t="shared" si="145"/>
        <v>99.999999999999986</v>
      </c>
      <c r="AE1099" s="8">
        <v>0</v>
      </c>
      <c r="AF1099" s="8">
        <v>0</v>
      </c>
      <c r="AG1099" s="8">
        <v>0</v>
      </c>
      <c r="AH1099" s="8">
        <v>0</v>
      </c>
      <c r="AI1099" s="39" t="s">
        <v>1531</v>
      </c>
      <c r="AJ1099" s="7">
        <f t="shared" ref="AJ1099:AJ1104" si="146">15*24</f>
        <v>360</v>
      </c>
      <c r="AK1099" s="62">
        <v>1393</v>
      </c>
      <c r="AL1099" s="158"/>
      <c r="AM1099" s="85"/>
      <c r="AN1099" s="85"/>
      <c r="AO1099" s="85"/>
      <c r="AP1099" s="85"/>
      <c r="AQ1099" s="85"/>
      <c r="AR1099" s="85"/>
      <c r="AS1099" s="85"/>
      <c r="AT1099" s="205"/>
      <c r="AU1099" s="85"/>
      <c r="AV1099" s="196"/>
      <c r="AW1099" s="85">
        <v>11.475</v>
      </c>
      <c r="AX1099" s="85"/>
      <c r="AY1099" s="39">
        <v>0.01</v>
      </c>
      <c r="AZ1099" s="7">
        <v>187</v>
      </c>
      <c r="BA1099" s="62"/>
      <c r="BB1099" s="7">
        <v>5</v>
      </c>
      <c r="BC1099" s="7">
        <v>21.3</v>
      </c>
      <c r="BD1099" s="7">
        <v>191.3</v>
      </c>
      <c r="BE1099" s="7">
        <v>22.5</v>
      </c>
      <c r="BF1099" s="39"/>
      <c r="BG1099" s="7"/>
      <c r="BH1099" s="62"/>
      <c r="BI1099" s="7"/>
      <c r="BJ1099" s="32">
        <v>1</v>
      </c>
      <c r="BK1099" s="54"/>
    </row>
    <row r="1100" spans="1:63" ht="23.25" customHeight="1" x14ac:dyDescent="0.2">
      <c r="A1100" s="62">
        <v>1099</v>
      </c>
      <c r="B1100" s="221"/>
      <c r="C1100" s="221"/>
      <c r="D1100" s="241"/>
      <c r="E1100" s="54" t="s">
        <v>1663</v>
      </c>
      <c r="F1100" s="16">
        <f>(11.5-0.2)*100/14</f>
        <v>80.714285714285708</v>
      </c>
      <c r="G1100" s="8">
        <f t="shared" si="144"/>
        <v>10.714285714285714</v>
      </c>
      <c r="H1100" s="8">
        <f>0</f>
        <v>0</v>
      </c>
      <c r="I1100" s="8">
        <f>0</f>
        <v>0</v>
      </c>
      <c r="J1100" s="8">
        <f>0</f>
        <v>0</v>
      </c>
      <c r="K1100" s="8">
        <f>0</f>
        <v>0</v>
      </c>
      <c r="L1100" s="8">
        <f>0.2*100/14</f>
        <v>1.4285714285714286</v>
      </c>
      <c r="M1100" s="8">
        <f>0</f>
        <v>0</v>
      </c>
      <c r="N1100" s="8">
        <f>0</f>
        <v>0</v>
      </c>
      <c r="O1100" s="8">
        <f>0</f>
        <v>0</v>
      </c>
      <c r="P1100" s="8">
        <f>0</f>
        <v>0</v>
      </c>
      <c r="Q1100" s="8">
        <f>0</f>
        <v>0</v>
      </c>
      <c r="R1100" s="8">
        <f>0</f>
        <v>0</v>
      </c>
      <c r="S1100" s="17">
        <f>0</f>
        <v>0</v>
      </c>
      <c r="T1100" s="8">
        <f>1*100/14</f>
        <v>7.1428571428571432</v>
      </c>
      <c r="U1100" s="8">
        <v>0</v>
      </c>
      <c r="V1100" s="8">
        <v>0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14">
        <f t="shared" ref="AD1100:AD1110" si="147">SUM(F1100:AC1100)</f>
        <v>99.999999999999986</v>
      </c>
      <c r="AE1100" s="8">
        <v>0</v>
      </c>
      <c r="AF1100" s="8">
        <v>0</v>
      </c>
      <c r="AG1100" s="8">
        <v>0</v>
      </c>
      <c r="AH1100" s="8">
        <v>0</v>
      </c>
      <c r="AI1100" s="39" t="s">
        <v>1531</v>
      </c>
      <c r="AJ1100" s="7">
        <f t="shared" si="146"/>
        <v>360</v>
      </c>
      <c r="AK1100" s="62">
        <v>1393</v>
      </c>
      <c r="AL1100" s="158"/>
      <c r="AM1100" s="85"/>
      <c r="AN1100" s="85"/>
      <c r="AO1100" s="85"/>
      <c r="AP1100" s="85"/>
      <c r="AQ1100" s="85"/>
      <c r="AR1100" s="85"/>
      <c r="AS1100" s="85"/>
      <c r="AT1100" s="205"/>
      <c r="AU1100" s="85"/>
      <c r="AV1100" s="196"/>
      <c r="AW1100" s="85">
        <v>11.475</v>
      </c>
      <c r="AX1100" s="85"/>
      <c r="AY1100" s="39">
        <v>0.01</v>
      </c>
      <c r="AZ1100" s="7">
        <v>185</v>
      </c>
      <c r="BA1100" s="62"/>
      <c r="BB1100" s="7">
        <v>5</v>
      </c>
      <c r="BC1100" s="7">
        <v>20.7</v>
      </c>
      <c r="BD1100" s="7">
        <v>189.9</v>
      </c>
      <c r="BE1100" s="7">
        <v>22.1</v>
      </c>
      <c r="BF1100" s="39"/>
      <c r="BG1100" s="7"/>
      <c r="BH1100" s="62"/>
      <c r="BI1100" s="7"/>
      <c r="BJ1100" s="32">
        <v>1</v>
      </c>
      <c r="BK1100" s="54"/>
    </row>
    <row r="1101" spans="1:63" ht="23.25" customHeight="1" x14ac:dyDescent="0.2">
      <c r="A1101" s="7">
        <v>1100</v>
      </c>
      <c r="B1101" s="221"/>
      <c r="C1101" s="221"/>
      <c r="D1101" s="241" t="s">
        <v>1436</v>
      </c>
      <c r="E1101" s="54" t="s">
        <v>1662</v>
      </c>
      <c r="F1101" s="16">
        <f>(11.5-0.1)*100/14</f>
        <v>81.428571428571431</v>
      </c>
      <c r="G1101" s="8">
        <f t="shared" si="144"/>
        <v>10.714285714285714</v>
      </c>
      <c r="H1101" s="8">
        <f>0</f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f>0.1*100/14</f>
        <v>0.7142857142857143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17">
        <v>0</v>
      </c>
      <c r="T1101" s="8">
        <f t="shared" ref="T1101:T1103" si="148">1*100/14</f>
        <v>7.1428571428571432</v>
      </c>
      <c r="U1101" s="8">
        <v>0</v>
      </c>
      <c r="V1101" s="8">
        <v>0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  <c r="AD1101" s="14">
        <f t="shared" si="147"/>
        <v>99.999999999999986</v>
      </c>
      <c r="AE1101" s="8">
        <v>0</v>
      </c>
      <c r="AF1101" s="8">
        <v>0</v>
      </c>
      <c r="AG1101" s="8">
        <v>0</v>
      </c>
      <c r="AH1101" s="8">
        <v>0</v>
      </c>
      <c r="AI1101" s="39" t="s">
        <v>1531</v>
      </c>
      <c r="AJ1101" s="7">
        <f t="shared" si="146"/>
        <v>360</v>
      </c>
      <c r="AK1101" s="62">
        <v>1393</v>
      </c>
      <c r="AL1101" s="158"/>
      <c r="AM1101" s="85"/>
      <c r="AN1101" s="85"/>
      <c r="AO1101" s="85"/>
      <c r="AP1101" s="85"/>
      <c r="AQ1101" s="85"/>
      <c r="AR1101" s="85"/>
      <c r="AS1101" s="85"/>
      <c r="AT1101" s="205"/>
      <c r="AU1101" s="85"/>
      <c r="AV1101" s="196"/>
      <c r="AW1101" s="85">
        <v>11.474</v>
      </c>
      <c r="AX1101" s="85"/>
      <c r="AY1101" s="39">
        <v>0.01</v>
      </c>
      <c r="AZ1101" s="7">
        <v>197</v>
      </c>
      <c r="BA1101" s="62"/>
      <c r="BB1101" s="7">
        <v>5</v>
      </c>
      <c r="BC1101" s="7">
        <v>17.5</v>
      </c>
      <c r="BD1101" s="7">
        <v>199</v>
      </c>
      <c r="BE1101" s="7">
        <v>23.5</v>
      </c>
      <c r="BF1101" s="39"/>
      <c r="BG1101" s="7"/>
      <c r="BH1101" s="62"/>
      <c r="BI1101" s="7"/>
      <c r="BJ1101" s="32">
        <v>1</v>
      </c>
      <c r="BK1101" s="54"/>
    </row>
    <row r="1102" spans="1:63" ht="23.25" customHeight="1" x14ac:dyDescent="0.2">
      <c r="A1102" s="62">
        <v>1101</v>
      </c>
      <c r="B1102" s="221"/>
      <c r="C1102" s="221"/>
      <c r="D1102" s="241"/>
      <c r="E1102" s="54" t="s">
        <v>1665</v>
      </c>
      <c r="F1102" s="16">
        <f>(11.5-0.15)*100/14</f>
        <v>81.071428571428569</v>
      </c>
      <c r="G1102" s="8">
        <f t="shared" si="144"/>
        <v>10.714285714285714</v>
      </c>
      <c r="H1102" s="8">
        <f>0</f>
        <v>0</v>
      </c>
      <c r="I1102" s="8">
        <f>0</f>
        <v>0</v>
      </c>
      <c r="J1102" s="8">
        <f>0</f>
        <v>0</v>
      </c>
      <c r="K1102" s="8">
        <f>0</f>
        <v>0</v>
      </c>
      <c r="L1102" s="8">
        <f>0</f>
        <v>0</v>
      </c>
      <c r="M1102" s="8">
        <f>0.15*100/14</f>
        <v>1.0714285714285714</v>
      </c>
      <c r="N1102" s="8">
        <f>0</f>
        <v>0</v>
      </c>
      <c r="O1102" s="8">
        <f>0</f>
        <v>0</v>
      </c>
      <c r="P1102" s="8">
        <f>0</f>
        <v>0</v>
      </c>
      <c r="Q1102" s="8">
        <f>0</f>
        <v>0</v>
      </c>
      <c r="R1102" s="8">
        <f>0</f>
        <v>0</v>
      </c>
      <c r="S1102" s="17">
        <f>0</f>
        <v>0</v>
      </c>
      <c r="T1102" s="8">
        <f t="shared" si="148"/>
        <v>7.1428571428571432</v>
      </c>
      <c r="U1102" s="8">
        <v>0</v>
      </c>
      <c r="V1102" s="8">
        <v>0</v>
      </c>
      <c r="W1102" s="8">
        <v>0</v>
      </c>
      <c r="X1102" s="8">
        <v>0</v>
      </c>
      <c r="Y1102" s="8">
        <v>0</v>
      </c>
      <c r="Z1102" s="8">
        <v>0</v>
      </c>
      <c r="AA1102" s="8">
        <v>0</v>
      </c>
      <c r="AB1102" s="8">
        <v>0</v>
      </c>
      <c r="AC1102" s="8">
        <v>0</v>
      </c>
      <c r="AD1102" s="14">
        <f t="shared" si="147"/>
        <v>99.999999999999986</v>
      </c>
      <c r="AE1102" s="8">
        <v>0</v>
      </c>
      <c r="AF1102" s="8">
        <v>0</v>
      </c>
      <c r="AG1102" s="8">
        <v>0</v>
      </c>
      <c r="AH1102" s="8">
        <v>0</v>
      </c>
      <c r="AI1102" s="39" t="s">
        <v>1531</v>
      </c>
      <c r="AJ1102" s="7">
        <f t="shared" si="146"/>
        <v>360</v>
      </c>
      <c r="AK1102" s="62">
        <v>1393</v>
      </c>
      <c r="AL1102" s="158"/>
      <c r="AM1102" s="85"/>
      <c r="AN1102" s="85"/>
      <c r="AO1102" s="85"/>
      <c r="AP1102" s="85"/>
      <c r="AQ1102" s="85"/>
      <c r="AR1102" s="85"/>
      <c r="AS1102" s="85"/>
      <c r="AT1102" s="205"/>
      <c r="AU1102" s="85"/>
      <c r="AV1102" s="196"/>
      <c r="AW1102" s="85">
        <v>11.473000000000001</v>
      </c>
      <c r="AX1102" s="85"/>
      <c r="AY1102" s="39">
        <v>0.01</v>
      </c>
      <c r="AZ1102" s="7">
        <v>200</v>
      </c>
      <c r="BA1102" s="62"/>
      <c r="BB1102" s="7">
        <v>5</v>
      </c>
      <c r="BC1102" s="7">
        <v>14.4</v>
      </c>
      <c r="BD1102" s="7">
        <v>202.7</v>
      </c>
      <c r="BE1102" s="7">
        <v>25.8</v>
      </c>
      <c r="BF1102" s="39"/>
      <c r="BG1102" s="7"/>
      <c r="BH1102" s="62"/>
      <c r="BI1102" s="7"/>
      <c r="BJ1102" s="32">
        <v>1</v>
      </c>
      <c r="BK1102" s="54"/>
    </row>
    <row r="1103" spans="1:63" ht="23.25" customHeight="1" x14ac:dyDescent="0.2">
      <c r="A1103" s="7">
        <v>1102</v>
      </c>
      <c r="B1103" s="221"/>
      <c r="C1103" s="221"/>
      <c r="D1103" s="241"/>
      <c r="E1103" s="54" t="s">
        <v>1663</v>
      </c>
      <c r="F1103" s="16">
        <f>(11.5-0.2)*100/14</f>
        <v>80.714285714285708</v>
      </c>
      <c r="G1103" s="8">
        <f t="shared" si="144"/>
        <v>10.714285714285714</v>
      </c>
      <c r="H1103" s="8">
        <f>0</f>
        <v>0</v>
      </c>
      <c r="I1103" s="8">
        <f>0</f>
        <v>0</v>
      </c>
      <c r="J1103" s="8">
        <f>0</f>
        <v>0</v>
      </c>
      <c r="K1103" s="8">
        <f>0</f>
        <v>0</v>
      </c>
      <c r="L1103" s="8">
        <f>0</f>
        <v>0</v>
      </c>
      <c r="M1103" s="8">
        <f>0.2*100/14</f>
        <v>1.4285714285714286</v>
      </c>
      <c r="N1103" s="8">
        <f>0</f>
        <v>0</v>
      </c>
      <c r="O1103" s="8">
        <f>0</f>
        <v>0</v>
      </c>
      <c r="P1103" s="8">
        <f>0</f>
        <v>0</v>
      </c>
      <c r="Q1103" s="8">
        <f>0</f>
        <v>0</v>
      </c>
      <c r="R1103" s="8">
        <f>0</f>
        <v>0</v>
      </c>
      <c r="S1103" s="17">
        <f>0</f>
        <v>0</v>
      </c>
      <c r="T1103" s="8">
        <f t="shared" si="148"/>
        <v>7.1428571428571432</v>
      </c>
      <c r="U1103" s="8">
        <v>0</v>
      </c>
      <c r="V1103" s="8">
        <v>0</v>
      </c>
      <c r="W1103" s="8">
        <v>0</v>
      </c>
      <c r="X1103" s="8">
        <v>0</v>
      </c>
      <c r="Y1103" s="8">
        <v>0</v>
      </c>
      <c r="Z1103" s="8">
        <v>0</v>
      </c>
      <c r="AA1103" s="8">
        <v>0</v>
      </c>
      <c r="AB1103" s="8">
        <v>0</v>
      </c>
      <c r="AC1103" s="8">
        <v>0</v>
      </c>
      <c r="AD1103" s="14">
        <f t="shared" si="147"/>
        <v>99.999999999999986</v>
      </c>
      <c r="AE1103" s="8">
        <v>0</v>
      </c>
      <c r="AF1103" s="8">
        <v>0</v>
      </c>
      <c r="AG1103" s="8">
        <v>0</v>
      </c>
      <c r="AH1103" s="8">
        <v>0</v>
      </c>
      <c r="AI1103" s="39" t="s">
        <v>1531</v>
      </c>
      <c r="AJ1103" s="7">
        <f t="shared" si="146"/>
        <v>360</v>
      </c>
      <c r="AK1103" s="62">
        <v>1393</v>
      </c>
      <c r="AL1103" s="158"/>
      <c r="AM1103" s="85"/>
      <c r="AN1103" s="85"/>
      <c r="AO1103" s="85"/>
      <c r="AP1103" s="85"/>
      <c r="AQ1103" s="85"/>
      <c r="AR1103" s="85"/>
      <c r="AS1103" s="85"/>
      <c r="AT1103" s="205"/>
      <c r="AU1103" s="85"/>
      <c r="AV1103" s="196"/>
      <c r="AW1103" s="85">
        <v>11.473000000000001</v>
      </c>
      <c r="AX1103" s="85"/>
      <c r="AY1103" s="39">
        <v>0.01</v>
      </c>
      <c r="AZ1103" s="7">
        <v>206</v>
      </c>
      <c r="BA1103" s="62"/>
      <c r="BB1103" s="7">
        <v>5</v>
      </c>
      <c r="BC1103" s="7">
        <v>12.2</v>
      </c>
      <c r="BD1103" s="7">
        <v>207.6</v>
      </c>
      <c r="BE1103" s="7">
        <v>27.2</v>
      </c>
      <c r="BF1103" s="39"/>
      <c r="BG1103" s="7"/>
      <c r="BH1103" s="62"/>
      <c r="BI1103" s="7"/>
      <c r="BJ1103" s="32">
        <v>1</v>
      </c>
      <c r="BK1103" s="54"/>
    </row>
    <row r="1104" spans="1:63" ht="23.25" customHeight="1" thickBot="1" x14ac:dyDescent="0.25">
      <c r="A1104" s="62">
        <v>1103</v>
      </c>
      <c r="B1104" s="222"/>
      <c r="C1104" s="222"/>
      <c r="D1104" s="54" t="s">
        <v>10</v>
      </c>
      <c r="E1104" s="54"/>
      <c r="F1104" s="16">
        <f>11.5*100/14</f>
        <v>82.142857142857139</v>
      </c>
      <c r="G1104" s="8">
        <f t="shared" si="144"/>
        <v>10.714285714285714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17">
        <v>0</v>
      </c>
      <c r="T1104" s="8">
        <f>1*100/14</f>
        <v>7.1428571428571432</v>
      </c>
      <c r="U1104" s="8">
        <v>0</v>
      </c>
      <c r="V1104" s="8">
        <v>0</v>
      </c>
      <c r="W1104" s="8">
        <v>0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  <c r="AD1104" s="14">
        <f t="shared" si="147"/>
        <v>99.999999999999986</v>
      </c>
      <c r="AE1104" s="8">
        <v>0</v>
      </c>
      <c r="AF1104" s="8">
        <v>0</v>
      </c>
      <c r="AG1104" s="8">
        <v>0</v>
      </c>
      <c r="AH1104" s="8">
        <v>0</v>
      </c>
      <c r="AI1104" s="39" t="s">
        <v>1531</v>
      </c>
      <c r="AJ1104" s="7">
        <f t="shared" si="146"/>
        <v>360</v>
      </c>
      <c r="AK1104" s="62">
        <v>1393</v>
      </c>
      <c r="AL1104" s="158"/>
      <c r="AM1104" s="85"/>
      <c r="AN1104" s="85"/>
      <c r="AO1104" s="85"/>
      <c r="AP1104" s="85"/>
      <c r="AQ1104" s="85"/>
      <c r="AR1104" s="85"/>
      <c r="AS1104" s="85"/>
      <c r="AT1104" s="205"/>
      <c r="AU1104" s="85"/>
      <c r="AV1104" s="196"/>
      <c r="AW1104" s="85">
        <v>11.474</v>
      </c>
      <c r="AX1104" s="85"/>
      <c r="AY1104" s="39">
        <v>0.01</v>
      </c>
      <c r="AZ1104" s="7">
        <v>193</v>
      </c>
      <c r="BA1104" s="62"/>
      <c r="BB1104" s="7">
        <v>5</v>
      </c>
      <c r="BC1104" s="7">
        <v>24.1</v>
      </c>
      <c r="BD1104" s="7"/>
      <c r="BE1104" s="7"/>
      <c r="BF1104" s="39"/>
      <c r="BG1104" s="7"/>
      <c r="BH1104" s="62"/>
      <c r="BI1104" s="7"/>
      <c r="BJ1104" s="32">
        <v>1</v>
      </c>
      <c r="BK1104" s="54"/>
    </row>
    <row r="1105" spans="1:63" s="4" customFormat="1" ht="23.25" customHeight="1" x14ac:dyDescent="0.2">
      <c r="A1105" s="7">
        <v>1104</v>
      </c>
      <c r="B1105" s="218">
        <v>977</v>
      </c>
      <c r="C1105" s="218" t="s">
        <v>1657</v>
      </c>
      <c r="D1105" s="12" t="s">
        <v>1437</v>
      </c>
      <c r="E1105" s="12"/>
      <c r="F1105" s="87">
        <f>11.6*100/14</f>
        <v>82.857142857142861</v>
      </c>
      <c r="G1105" s="88">
        <f>1.4*100/14</f>
        <v>10</v>
      </c>
      <c r="H1105" s="88">
        <v>0</v>
      </c>
      <c r="I1105" s="88">
        <v>0</v>
      </c>
      <c r="J1105" s="88">
        <v>0</v>
      </c>
      <c r="K1105" s="88">
        <v>0</v>
      </c>
      <c r="L1105" s="88">
        <v>0</v>
      </c>
      <c r="M1105" s="88">
        <v>0</v>
      </c>
      <c r="N1105" s="88">
        <v>0</v>
      </c>
      <c r="O1105" s="88">
        <v>0</v>
      </c>
      <c r="P1105" s="88">
        <v>0</v>
      </c>
      <c r="Q1105" s="88">
        <v>0</v>
      </c>
      <c r="R1105" s="88">
        <v>0</v>
      </c>
      <c r="S1105" s="89">
        <v>0</v>
      </c>
      <c r="T1105" s="88">
        <f>0.7*100/14</f>
        <v>5</v>
      </c>
      <c r="U1105" s="88">
        <v>0</v>
      </c>
      <c r="V1105" s="88">
        <f>0.3*100/14</f>
        <v>2.1428571428571428</v>
      </c>
      <c r="W1105" s="88">
        <v>0</v>
      </c>
      <c r="X1105" s="88">
        <v>0</v>
      </c>
      <c r="Y1105" s="88">
        <v>0</v>
      </c>
      <c r="Z1105" s="88">
        <v>0</v>
      </c>
      <c r="AA1105" s="88">
        <v>0</v>
      </c>
      <c r="AB1105" s="88">
        <v>0</v>
      </c>
      <c r="AC1105" s="88">
        <v>0</v>
      </c>
      <c r="AD1105" s="90">
        <f t="shared" si="147"/>
        <v>100</v>
      </c>
      <c r="AE1105" s="88">
        <v>0</v>
      </c>
      <c r="AF1105" s="88">
        <v>0</v>
      </c>
      <c r="AG1105" s="88">
        <v>0</v>
      </c>
      <c r="AH1105" s="88">
        <v>0</v>
      </c>
      <c r="AI1105" s="156" t="s">
        <v>1531</v>
      </c>
      <c r="AJ1105" s="45">
        <f>30*24</f>
        <v>720</v>
      </c>
      <c r="AK1105" s="91">
        <v>1353</v>
      </c>
      <c r="AL1105" s="197"/>
      <c r="AM1105" s="189"/>
      <c r="AN1105" s="189"/>
      <c r="AO1105" s="189"/>
      <c r="AP1105" s="189"/>
      <c r="AQ1105" s="189"/>
      <c r="AR1105" s="189"/>
      <c r="AS1105" s="189"/>
      <c r="AT1105" s="198"/>
      <c r="AU1105" s="189"/>
      <c r="AV1105" s="199"/>
      <c r="AW1105" s="189"/>
      <c r="AX1105" s="189"/>
      <c r="AY1105" s="156">
        <v>0.02</v>
      </c>
      <c r="AZ1105" s="45">
        <v>163</v>
      </c>
      <c r="BA1105" s="91">
        <v>9</v>
      </c>
      <c r="BB1105" s="45"/>
      <c r="BC1105" s="45"/>
      <c r="BD1105" s="45"/>
      <c r="BE1105" s="45"/>
      <c r="BF1105" s="156"/>
      <c r="BG1105" s="45"/>
      <c r="BH1105" s="91"/>
      <c r="BI1105" s="45"/>
      <c r="BJ1105" s="67">
        <v>1</v>
      </c>
      <c r="BK1105" s="12"/>
    </row>
    <row r="1106" spans="1:63" ht="23.25" customHeight="1" x14ac:dyDescent="0.2">
      <c r="A1106" s="62">
        <v>1105</v>
      </c>
      <c r="B1106" s="221"/>
      <c r="C1106" s="221"/>
      <c r="D1106" s="54" t="s">
        <v>1438</v>
      </c>
      <c r="E1106" s="54"/>
      <c r="F1106" s="16">
        <f>11.6*100/13.997</f>
        <v>82.874901764663861</v>
      </c>
      <c r="G1106" s="8">
        <f>1.4*100/13.997</f>
        <v>10.002143316424949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17">
        <v>0</v>
      </c>
      <c r="T1106" s="8">
        <f>0.7*100/14</f>
        <v>5</v>
      </c>
      <c r="U1106" s="8">
        <f>0.064*100/14</f>
        <v>0.45714285714285718</v>
      </c>
      <c r="V1106" s="8">
        <f>0.21*100/14</f>
        <v>1.5</v>
      </c>
      <c r="W1106" s="8">
        <f>0.023*100/14</f>
        <v>0.16428571428571428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111">
        <f t="shared" si="147"/>
        <v>99.998473652517376</v>
      </c>
      <c r="AE1106" s="8">
        <v>0</v>
      </c>
      <c r="AF1106" s="8">
        <v>0</v>
      </c>
      <c r="AG1106" s="8">
        <v>0</v>
      </c>
      <c r="AH1106" s="8">
        <v>0</v>
      </c>
      <c r="AI1106" s="39" t="s">
        <v>1531</v>
      </c>
      <c r="AJ1106" s="7">
        <v>720</v>
      </c>
      <c r="AK1106" s="62">
        <v>1353</v>
      </c>
      <c r="AL1106" s="158"/>
      <c r="AM1106" s="85"/>
      <c r="AN1106" s="85"/>
      <c r="AO1106" s="85"/>
      <c r="AP1106" s="85"/>
      <c r="AQ1106" s="85"/>
      <c r="AR1106" s="85"/>
      <c r="AS1106" s="85"/>
      <c r="AT1106" s="205"/>
      <c r="AU1106" s="85"/>
      <c r="AV1106" s="196"/>
      <c r="AW1106" s="85"/>
      <c r="AX1106" s="85"/>
      <c r="AY1106" s="39">
        <v>0.02</v>
      </c>
      <c r="AZ1106" s="7">
        <v>169</v>
      </c>
      <c r="BA1106" s="62">
        <v>8</v>
      </c>
      <c r="BB1106" s="7">
        <v>5</v>
      </c>
      <c r="BC1106" s="7">
        <v>29.1</v>
      </c>
      <c r="BD1106" s="7">
        <v>173</v>
      </c>
      <c r="BE1106" s="7">
        <v>15.4</v>
      </c>
      <c r="BF1106" s="39"/>
      <c r="BG1106" s="7"/>
      <c r="BH1106" s="62"/>
      <c r="BI1106" s="7"/>
      <c r="BJ1106" s="32">
        <v>1</v>
      </c>
      <c r="BK1106" s="54"/>
    </row>
    <row r="1107" spans="1:63" s="6" customFormat="1" ht="23.25" customHeight="1" thickBot="1" x14ac:dyDescent="0.25">
      <c r="A1107" s="7">
        <v>1106</v>
      </c>
      <c r="B1107" s="222"/>
      <c r="C1107" s="222"/>
      <c r="D1107" s="13" t="s">
        <v>1439</v>
      </c>
      <c r="E1107" s="13"/>
      <c r="F1107" s="80">
        <f>11.6*100/13.997</f>
        <v>82.874901764663861</v>
      </c>
      <c r="G1107" s="81">
        <f>1.4*100/13.997</f>
        <v>10.002143316424949</v>
      </c>
      <c r="H1107" s="81">
        <v>0</v>
      </c>
      <c r="I1107" s="81">
        <v>0</v>
      </c>
      <c r="J1107" s="81">
        <v>0</v>
      </c>
      <c r="K1107" s="81">
        <v>0</v>
      </c>
      <c r="L1107" s="81">
        <v>0</v>
      </c>
      <c r="M1107" s="81">
        <v>0</v>
      </c>
      <c r="N1107" s="81">
        <v>0</v>
      </c>
      <c r="O1107" s="81">
        <v>0</v>
      </c>
      <c r="P1107" s="81">
        <v>0</v>
      </c>
      <c r="Q1107" s="81">
        <v>0</v>
      </c>
      <c r="R1107" s="81">
        <v>0</v>
      </c>
      <c r="S1107" s="82">
        <v>0</v>
      </c>
      <c r="T1107" s="81">
        <f>0.7*100/14</f>
        <v>5</v>
      </c>
      <c r="U1107" s="81">
        <f>0.064*100/14</f>
        <v>0.45714285714285718</v>
      </c>
      <c r="V1107" s="81">
        <f>0.21*100/14</f>
        <v>1.5</v>
      </c>
      <c r="W1107" s="81">
        <f>0.023*100/14</f>
        <v>0.16428571428571428</v>
      </c>
      <c r="X1107" s="81">
        <v>0</v>
      </c>
      <c r="Y1107" s="81">
        <v>0</v>
      </c>
      <c r="Z1107" s="81">
        <v>0</v>
      </c>
      <c r="AA1107" s="81">
        <v>0</v>
      </c>
      <c r="AB1107" s="81">
        <v>0</v>
      </c>
      <c r="AC1107" s="81">
        <v>0</v>
      </c>
      <c r="AD1107" s="113">
        <f t="shared" si="147"/>
        <v>99.998473652517376</v>
      </c>
      <c r="AE1107" s="81">
        <f>1.6*100/14</f>
        <v>11.428571428571429</v>
      </c>
      <c r="AF1107" s="81">
        <v>0</v>
      </c>
      <c r="AG1107" s="81">
        <v>0</v>
      </c>
      <c r="AH1107" s="81">
        <v>0</v>
      </c>
      <c r="AI1107" s="79" t="s">
        <v>1531</v>
      </c>
      <c r="AJ1107" s="65">
        <v>720</v>
      </c>
      <c r="AK1107" s="78">
        <v>1353</v>
      </c>
      <c r="AL1107" s="200"/>
      <c r="AM1107" s="190"/>
      <c r="AN1107" s="190"/>
      <c r="AO1107" s="190"/>
      <c r="AP1107" s="190"/>
      <c r="AQ1107" s="190"/>
      <c r="AR1107" s="190"/>
      <c r="AS1107" s="190"/>
      <c r="AT1107" s="201"/>
      <c r="AU1107" s="190"/>
      <c r="AV1107" s="202"/>
      <c r="AW1107" s="190"/>
      <c r="AX1107" s="190"/>
      <c r="AY1107" s="79">
        <v>0.02</v>
      </c>
      <c r="AZ1107" s="65">
        <v>314</v>
      </c>
      <c r="BA1107" s="78">
        <v>0</v>
      </c>
      <c r="BB1107" s="65" t="s">
        <v>523</v>
      </c>
      <c r="BC1107" s="65" t="s">
        <v>1469</v>
      </c>
      <c r="BD1107" s="65" t="s">
        <v>1471</v>
      </c>
      <c r="BE1107" s="65" t="s">
        <v>1470</v>
      </c>
      <c r="BF1107" s="79"/>
      <c r="BG1107" s="65"/>
      <c r="BH1107" s="78"/>
      <c r="BI1107" s="65"/>
      <c r="BJ1107" s="68">
        <v>1</v>
      </c>
      <c r="BK1107" s="13"/>
    </row>
    <row r="1108" spans="1:63" ht="23.25" customHeight="1" x14ac:dyDescent="0.2">
      <c r="A1108" s="62">
        <v>1107</v>
      </c>
      <c r="B1108" s="218">
        <v>976</v>
      </c>
      <c r="C1108" s="218" t="s">
        <v>1658</v>
      </c>
      <c r="D1108" s="54" t="s">
        <v>61</v>
      </c>
      <c r="E1108" s="54"/>
      <c r="F1108" s="16">
        <f>11.7*100/14</f>
        <v>83.571428571428569</v>
      </c>
      <c r="G1108" s="8">
        <f>1.3*100/14</f>
        <v>9.2857142857142865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17">
        <v>0</v>
      </c>
      <c r="T1108" s="8">
        <f t="shared" ref="T1108:T1114" si="149">1*100/14</f>
        <v>7.1428571428571432</v>
      </c>
      <c r="U1108" s="8">
        <v>0</v>
      </c>
      <c r="V1108" s="8">
        <v>0</v>
      </c>
      <c r="W1108" s="8">
        <v>0</v>
      </c>
      <c r="X1108" s="8">
        <v>0</v>
      </c>
      <c r="Y1108" s="8">
        <v>0</v>
      </c>
      <c r="Z1108" s="8">
        <v>0</v>
      </c>
      <c r="AA1108" s="8">
        <v>0</v>
      </c>
      <c r="AB1108" s="8">
        <v>0</v>
      </c>
      <c r="AC1108" s="8">
        <v>0</v>
      </c>
      <c r="AD1108" s="111">
        <f t="shared" si="147"/>
        <v>100</v>
      </c>
      <c r="AE1108" s="8">
        <v>0</v>
      </c>
      <c r="AF1108" s="8">
        <v>0</v>
      </c>
      <c r="AG1108" s="8">
        <v>0</v>
      </c>
      <c r="AH1108" s="8">
        <v>0</v>
      </c>
      <c r="AI1108" s="39" t="s">
        <v>1531</v>
      </c>
      <c r="AJ1108" s="7">
        <v>960</v>
      </c>
      <c r="AK1108" s="62">
        <v>1373</v>
      </c>
      <c r="AL1108" s="158"/>
      <c r="AM1108" s="85"/>
      <c r="AN1108" s="85"/>
      <c r="AO1108" s="85"/>
      <c r="AP1108" s="85"/>
      <c r="AQ1108" s="85"/>
      <c r="AR1108" s="85"/>
      <c r="AS1108" s="85"/>
      <c r="AT1108" s="205"/>
      <c r="AU1108" s="85"/>
      <c r="AV1108" s="196"/>
      <c r="AW1108" s="85"/>
      <c r="AX1108" s="85"/>
      <c r="AY1108" s="39">
        <v>0.05</v>
      </c>
      <c r="AZ1108" s="7">
        <v>189</v>
      </c>
      <c r="BA1108" s="62">
        <v>2</v>
      </c>
      <c r="BB1108" s="7" t="s">
        <v>523</v>
      </c>
      <c r="BC1108" s="7" t="s">
        <v>1461</v>
      </c>
      <c r="BD1108" s="7" t="s">
        <v>1466</v>
      </c>
      <c r="BE1108" s="7" t="s">
        <v>1462</v>
      </c>
      <c r="BF1108" s="39"/>
      <c r="BG1108" s="7"/>
      <c r="BH1108" s="62"/>
      <c r="BI1108" s="7"/>
      <c r="BJ1108" s="32">
        <v>1</v>
      </c>
      <c r="BK1108" s="54"/>
    </row>
    <row r="1109" spans="1:63" ht="23.25" customHeight="1" x14ac:dyDescent="0.2">
      <c r="A1109" s="7">
        <v>1108</v>
      </c>
      <c r="B1109" s="219"/>
      <c r="C1109" s="219"/>
      <c r="D1109" s="54" t="s">
        <v>38</v>
      </c>
      <c r="E1109" s="54"/>
      <c r="F1109" s="16">
        <f>11.7*100/14</f>
        <v>83.571428571428569</v>
      </c>
      <c r="G1109" s="8">
        <f>1.3*100/14</f>
        <v>9.2857142857142865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17">
        <v>0</v>
      </c>
      <c r="T1109" s="8">
        <f t="shared" si="149"/>
        <v>7.1428571428571432</v>
      </c>
      <c r="U1109" s="8">
        <v>0</v>
      </c>
      <c r="V1109" s="8">
        <v>0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111">
        <f t="shared" si="147"/>
        <v>100</v>
      </c>
      <c r="AE1109" s="8">
        <v>0</v>
      </c>
      <c r="AF1109" s="8">
        <f>0.2*100/14</f>
        <v>1.4285714285714286</v>
      </c>
      <c r="AG1109" s="8">
        <v>0</v>
      </c>
      <c r="AH1109" s="8">
        <v>0</v>
      </c>
      <c r="AI1109" s="39" t="s">
        <v>1531</v>
      </c>
      <c r="AJ1109" s="7">
        <v>168</v>
      </c>
      <c r="AK1109" s="62">
        <v>1373</v>
      </c>
      <c r="AL1109" s="158"/>
      <c r="AM1109" s="85"/>
      <c r="AN1109" s="85"/>
      <c r="AO1109" s="85"/>
      <c r="AP1109" s="85"/>
      <c r="AQ1109" s="85"/>
      <c r="AR1109" s="85"/>
      <c r="AS1109" s="85"/>
      <c r="AT1109" s="205"/>
      <c r="AU1109" s="85"/>
      <c r="AV1109" s="196"/>
      <c r="AW1109" s="85"/>
      <c r="AX1109" s="85"/>
      <c r="AY1109" s="39">
        <v>0.05</v>
      </c>
      <c r="AZ1109" s="7">
        <v>212</v>
      </c>
      <c r="BA1109" s="62">
        <v>0</v>
      </c>
      <c r="BB1109" s="7" t="s">
        <v>523</v>
      </c>
      <c r="BC1109" s="7" t="s">
        <v>1464</v>
      </c>
      <c r="BD1109" s="7" t="s">
        <v>1463</v>
      </c>
      <c r="BE1109" s="7" t="s">
        <v>1465</v>
      </c>
      <c r="BF1109" s="39"/>
      <c r="BG1109" s="7"/>
      <c r="BH1109" s="62"/>
      <c r="BI1109" s="7"/>
      <c r="BJ1109" s="32">
        <v>1</v>
      </c>
      <c r="BK1109" s="54"/>
    </row>
    <row r="1110" spans="1:63" ht="23.25" customHeight="1" thickBot="1" x14ac:dyDescent="0.25">
      <c r="A1110" s="62">
        <v>1109</v>
      </c>
      <c r="B1110" s="220"/>
      <c r="C1110" s="220"/>
      <c r="D1110" s="54" t="s">
        <v>371</v>
      </c>
      <c r="E1110" s="54"/>
      <c r="F1110" s="16">
        <f>11.7*100/14</f>
        <v>83.571428571428569</v>
      </c>
      <c r="G1110" s="8">
        <f>1.3*100/14</f>
        <v>9.2857142857142865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17">
        <v>0</v>
      </c>
      <c r="T1110" s="8">
        <f t="shared" si="149"/>
        <v>7.1428571428571432</v>
      </c>
      <c r="U1110" s="8">
        <v>0</v>
      </c>
      <c r="V1110" s="8">
        <v>0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  <c r="AD1110" s="111">
        <f t="shared" si="147"/>
        <v>100</v>
      </c>
      <c r="AE1110" s="8">
        <f>1.7*100/14</f>
        <v>12.142857142857142</v>
      </c>
      <c r="AF1110" s="8">
        <f>0.2*100/14</f>
        <v>1.4285714285714286</v>
      </c>
      <c r="AG1110" s="8">
        <v>0</v>
      </c>
      <c r="AH1110" s="8">
        <v>0</v>
      </c>
      <c r="AI1110" s="39" t="s">
        <v>1531</v>
      </c>
      <c r="AJ1110" s="7">
        <v>168</v>
      </c>
      <c r="AK1110" s="62">
        <v>1373</v>
      </c>
      <c r="AL1110" s="158"/>
      <c r="AM1110" s="85"/>
      <c r="AN1110" s="85"/>
      <c r="AO1110" s="85"/>
      <c r="AP1110" s="85"/>
      <c r="AQ1110" s="85"/>
      <c r="AR1110" s="85"/>
      <c r="AS1110" s="85"/>
      <c r="AT1110" s="205"/>
      <c r="AU1110" s="85"/>
      <c r="AV1110" s="196"/>
      <c r="AW1110" s="85"/>
      <c r="AX1110" s="85"/>
      <c r="AY1110" s="39">
        <v>0.05</v>
      </c>
      <c r="AZ1110" s="7">
        <v>320</v>
      </c>
      <c r="BA1110" s="62">
        <v>0</v>
      </c>
      <c r="BB1110" s="7" t="s">
        <v>523</v>
      </c>
      <c r="BC1110" s="7" t="s">
        <v>1440</v>
      </c>
      <c r="BD1110" s="7" t="s">
        <v>1467</v>
      </c>
      <c r="BE1110" s="7" t="s">
        <v>1468</v>
      </c>
      <c r="BF1110" s="39"/>
      <c r="BG1110" s="7"/>
      <c r="BH1110" s="62"/>
      <c r="BI1110" s="7"/>
      <c r="BJ1110" s="32">
        <v>1</v>
      </c>
      <c r="BK1110" s="54"/>
    </row>
    <row r="1111" spans="1:63" s="4" customFormat="1" ht="23.25" customHeight="1" x14ac:dyDescent="0.2">
      <c r="A1111" s="7">
        <v>1110</v>
      </c>
      <c r="B1111" s="218">
        <v>975</v>
      </c>
      <c r="C1111" s="218" t="s">
        <v>1659</v>
      </c>
      <c r="D1111" s="225" t="s">
        <v>1441</v>
      </c>
      <c r="E1111" s="12" t="s">
        <v>1672</v>
      </c>
      <c r="F1111" s="87">
        <f>0.86*13*100/14</f>
        <v>79.857142857142861</v>
      </c>
      <c r="G1111" s="88">
        <v>0</v>
      </c>
      <c r="H1111" s="88">
        <f>(1-0.86)*13*100/14</f>
        <v>13.000000000000002</v>
      </c>
      <c r="I1111" s="88">
        <v>0</v>
      </c>
      <c r="J1111" s="88">
        <v>0</v>
      </c>
      <c r="K1111" s="88">
        <v>0</v>
      </c>
      <c r="L1111" s="88">
        <v>0</v>
      </c>
      <c r="M1111" s="88">
        <v>0</v>
      </c>
      <c r="N1111" s="88">
        <v>0</v>
      </c>
      <c r="O1111" s="88">
        <v>0</v>
      </c>
      <c r="P1111" s="88">
        <v>0</v>
      </c>
      <c r="Q1111" s="88">
        <v>0</v>
      </c>
      <c r="R1111" s="88">
        <v>0</v>
      </c>
      <c r="S1111" s="89">
        <v>0</v>
      </c>
      <c r="T1111" s="88">
        <f t="shared" si="149"/>
        <v>7.1428571428571432</v>
      </c>
      <c r="U1111" s="88">
        <v>0</v>
      </c>
      <c r="V1111" s="88">
        <v>0</v>
      </c>
      <c r="W1111" s="88">
        <v>0</v>
      </c>
      <c r="X1111" s="88">
        <v>0</v>
      </c>
      <c r="Y1111" s="88">
        <v>0</v>
      </c>
      <c r="Z1111" s="88">
        <v>0</v>
      </c>
      <c r="AA1111" s="88">
        <v>0</v>
      </c>
      <c r="AB1111" s="88">
        <v>0</v>
      </c>
      <c r="AC1111" s="88">
        <v>0</v>
      </c>
      <c r="AD1111" s="112">
        <f t="shared" ref="AD1111:AD1114" si="150">SUM(F1111:AC1111)</f>
        <v>100</v>
      </c>
      <c r="AE1111" s="88">
        <v>0</v>
      </c>
      <c r="AF1111" s="88">
        <v>0</v>
      </c>
      <c r="AG1111" s="88">
        <v>0</v>
      </c>
      <c r="AH1111" s="88">
        <v>0</v>
      </c>
      <c r="AI1111" s="156" t="s">
        <v>1531</v>
      </c>
      <c r="AJ1111" s="45"/>
      <c r="AK1111" s="91"/>
      <c r="AL1111" s="197"/>
      <c r="AM1111" s="189"/>
      <c r="AN1111" s="189"/>
      <c r="AO1111" s="189"/>
      <c r="AP1111" s="189"/>
      <c r="AQ1111" s="189"/>
      <c r="AR1111" s="189"/>
      <c r="AS1111" s="189"/>
      <c r="AT1111" s="198"/>
      <c r="AU1111" s="189"/>
      <c r="AV1111" s="199"/>
      <c r="AW1111" s="189"/>
      <c r="AX1111" s="189"/>
      <c r="AY1111" s="156">
        <v>0.01</v>
      </c>
      <c r="AZ1111" s="106">
        <v>183</v>
      </c>
      <c r="BA1111" s="91">
        <v>0</v>
      </c>
      <c r="BB1111" s="45" t="s">
        <v>1449</v>
      </c>
      <c r="BC1111" s="45" t="s">
        <v>1451</v>
      </c>
      <c r="BD1111" s="45" t="s">
        <v>1450</v>
      </c>
      <c r="BE1111" s="45" t="s">
        <v>1452</v>
      </c>
      <c r="BF1111" s="156"/>
      <c r="BG1111" s="45"/>
      <c r="BH1111" s="91"/>
      <c r="BI1111" s="45"/>
      <c r="BJ1111" s="67">
        <v>1</v>
      </c>
      <c r="BK1111" s="227" t="s">
        <v>1733</v>
      </c>
    </row>
    <row r="1112" spans="1:63" ht="23.25" customHeight="1" x14ac:dyDescent="0.2">
      <c r="A1112" s="62">
        <v>1111</v>
      </c>
      <c r="B1112" s="221"/>
      <c r="C1112" s="221"/>
      <c r="D1112" s="223"/>
      <c r="E1112" s="54" t="s">
        <v>1673</v>
      </c>
      <c r="F1112" s="16">
        <f>0.87*13*100/14</f>
        <v>80.785714285714292</v>
      </c>
      <c r="G1112" s="8">
        <v>0</v>
      </c>
      <c r="H1112" s="8">
        <f>(1-0.87)*13*100/14</f>
        <v>12.071428571428571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17">
        <v>0</v>
      </c>
      <c r="T1112" s="8">
        <f t="shared" si="149"/>
        <v>7.1428571428571432</v>
      </c>
      <c r="U1112" s="8">
        <v>0</v>
      </c>
      <c r="V1112" s="8">
        <v>0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111">
        <f t="shared" si="150"/>
        <v>100</v>
      </c>
      <c r="AE1112" s="8">
        <v>0</v>
      </c>
      <c r="AF1112" s="8">
        <v>0</v>
      </c>
      <c r="AG1112" s="8">
        <v>0</v>
      </c>
      <c r="AH1112" s="8">
        <v>0</v>
      </c>
      <c r="AI1112" s="39" t="s">
        <v>1531</v>
      </c>
      <c r="AJ1112" s="7"/>
      <c r="AK1112" s="62"/>
      <c r="AL1112" s="158"/>
      <c r="AM1112" s="85"/>
      <c r="AN1112" s="85"/>
      <c r="AO1112" s="85"/>
      <c r="AP1112" s="85"/>
      <c r="AQ1112" s="85"/>
      <c r="AR1112" s="85"/>
      <c r="AS1112" s="85"/>
      <c r="AT1112" s="205"/>
      <c r="AU1112" s="85"/>
      <c r="AV1112" s="196"/>
      <c r="AW1112" s="85"/>
      <c r="AX1112" s="85"/>
      <c r="AY1112" s="39">
        <v>0.01</v>
      </c>
      <c r="AZ1112" s="64">
        <v>181</v>
      </c>
      <c r="BA1112" s="62">
        <v>5</v>
      </c>
      <c r="BB1112" s="7" t="s">
        <v>1445</v>
      </c>
      <c r="BC1112" s="7" t="s">
        <v>1446</v>
      </c>
      <c r="BD1112" s="7" t="s">
        <v>1447</v>
      </c>
      <c r="BE1112" s="7" t="s">
        <v>1448</v>
      </c>
      <c r="BF1112" s="39"/>
      <c r="BG1112" s="7"/>
      <c r="BH1112" s="62"/>
      <c r="BI1112" s="7"/>
      <c r="BJ1112" s="32">
        <v>1</v>
      </c>
      <c r="BK1112" s="226"/>
    </row>
    <row r="1113" spans="1:63" ht="23.25" customHeight="1" x14ac:dyDescent="0.2">
      <c r="A1113" s="7">
        <v>1112</v>
      </c>
      <c r="B1113" s="221"/>
      <c r="C1113" s="221"/>
      <c r="D1113" s="223"/>
      <c r="E1113" s="54" t="s">
        <v>1674</v>
      </c>
      <c r="F1113" s="16">
        <f>0.88*13*100/14</f>
        <v>81.714285714285708</v>
      </c>
      <c r="G1113" s="8">
        <v>0</v>
      </c>
      <c r="H1113" s="8">
        <f>(1-0.88)*13*100/14</f>
        <v>11.142857142857142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17">
        <v>0</v>
      </c>
      <c r="T1113" s="8">
        <f t="shared" si="149"/>
        <v>7.1428571428571432</v>
      </c>
      <c r="U1113" s="8">
        <v>0</v>
      </c>
      <c r="V1113" s="8">
        <v>0</v>
      </c>
      <c r="W1113" s="8">
        <v>0</v>
      </c>
      <c r="X1113" s="8">
        <v>0</v>
      </c>
      <c r="Y1113" s="8">
        <v>0</v>
      </c>
      <c r="Z1113" s="8">
        <v>0</v>
      </c>
      <c r="AA1113" s="8">
        <v>0</v>
      </c>
      <c r="AB1113" s="8">
        <v>0</v>
      </c>
      <c r="AC1113" s="8">
        <v>0</v>
      </c>
      <c r="AD1113" s="111">
        <f t="shared" si="150"/>
        <v>99.999999999999986</v>
      </c>
      <c r="AE1113" s="8">
        <v>0</v>
      </c>
      <c r="AF1113" s="8">
        <v>0</v>
      </c>
      <c r="AG1113" s="8">
        <v>0</v>
      </c>
      <c r="AH1113" s="8">
        <v>0</v>
      </c>
      <c r="AI1113" s="39" t="s">
        <v>1531</v>
      </c>
      <c r="AJ1113" s="7"/>
      <c r="AK1113" s="62"/>
      <c r="AL1113" s="158"/>
      <c r="AM1113" s="85"/>
      <c r="AN1113" s="85"/>
      <c r="AO1113" s="85"/>
      <c r="AP1113" s="85"/>
      <c r="AQ1113" s="85"/>
      <c r="AR1113" s="85"/>
      <c r="AS1113" s="85"/>
      <c r="AT1113" s="205"/>
      <c r="AU1113" s="85"/>
      <c r="AV1113" s="196"/>
      <c r="AW1113" s="85"/>
      <c r="AX1113" s="85"/>
      <c r="AY1113" s="39">
        <v>0.01</v>
      </c>
      <c r="AZ1113" s="64">
        <v>186</v>
      </c>
      <c r="BA1113" s="62">
        <v>10</v>
      </c>
      <c r="BB1113" s="7" t="s">
        <v>1453</v>
      </c>
      <c r="BC1113" s="7" t="s">
        <v>1454</v>
      </c>
      <c r="BD1113" s="7" t="s">
        <v>1455</v>
      </c>
      <c r="BE1113" s="7" t="s">
        <v>1456</v>
      </c>
      <c r="BF1113" s="39"/>
      <c r="BG1113" s="7"/>
      <c r="BH1113" s="62"/>
      <c r="BI1113" s="7"/>
      <c r="BJ1113" s="32">
        <v>1</v>
      </c>
      <c r="BK1113" s="226"/>
    </row>
    <row r="1114" spans="1:63" s="6" customFormat="1" ht="23.25" customHeight="1" thickBot="1" x14ac:dyDescent="0.25">
      <c r="A1114" s="62">
        <v>1113</v>
      </c>
      <c r="B1114" s="222"/>
      <c r="C1114" s="222"/>
      <c r="D1114" s="224"/>
      <c r="E1114" s="13" t="s">
        <v>1675</v>
      </c>
      <c r="F1114" s="80">
        <f>0.89*13*100/14</f>
        <v>82.642857142857139</v>
      </c>
      <c r="G1114" s="81">
        <v>0</v>
      </c>
      <c r="H1114" s="81">
        <f>(1-0.89)*13*100/14</f>
        <v>10.214285714285712</v>
      </c>
      <c r="I1114" s="81">
        <v>0</v>
      </c>
      <c r="J1114" s="81">
        <v>0</v>
      </c>
      <c r="K1114" s="81">
        <v>0</v>
      </c>
      <c r="L1114" s="81">
        <v>0</v>
      </c>
      <c r="M1114" s="81">
        <v>0</v>
      </c>
      <c r="N1114" s="81">
        <v>0</v>
      </c>
      <c r="O1114" s="81">
        <v>0</v>
      </c>
      <c r="P1114" s="81">
        <v>0</v>
      </c>
      <c r="Q1114" s="81">
        <v>0</v>
      </c>
      <c r="R1114" s="81">
        <v>0</v>
      </c>
      <c r="S1114" s="82">
        <v>0</v>
      </c>
      <c r="T1114" s="81">
        <f t="shared" si="149"/>
        <v>7.1428571428571432</v>
      </c>
      <c r="U1114" s="81">
        <v>0</v>
      </c>
      <c r="V1114" s="81">
        <v>0</v>
      </c>
      <c r="W1114" s="81">
        <v>0</v>
      </c>
      <c r="X1114" s="81">
        <v>0</v>
      </c>
      <c r="Y1114" s="81">
        <v>0</v>
      </c>
      <c r="Z1114" s="81">
        <v>0</v>
      </c>
      <c r="AA1114" s="81">
        <v>0</v>
      </c>
      <c r="AB1114" s="81">
        <v>0</v>
      </c>
      <c r="AC1114" s="81">
        <v>0</v>
      </c>
      <c r="AD1114" s="113">
        <f t="shared" si="150"/>
        <v>99.999999999999986</v>
      </c>
      <c r="AE1114" s="81">
        <v>0</v>
      </c>
      <c r="AF1114" s="81">
        <v>0</v>
      </c>
      <c r="AG1114" s="81">
        <v>0</v>
      </c>
      <c r="AH1114" s="81">
        <v>0</v>
      </c>
      <c r="AI1114" s="79" t="s">
        <v>1531</v>
      </c>
      <c r="AJ1114" s="65"/>
      <c r="AK1114" s="78"/>
      <c r="AL1114" s="200"/>
      <c r="AM1114" s="190"/>
      <c r="AN1114" s="190"/>
      <c r="AO1114" s="190"/>
      <c r="AP1114" s="190"/>
      <c r="AQ1114" s="190"/>
      <c r="AR1114" s="190"/>
      <c r="AS1114" s="190"/>
      <c r="AT1114" s="201"/>
      <c r="AU1114" s="190"/>
      <c r="AV1114" s="202"/>
      <c r="AW1114" s="190"/>
      <c r="AX1114" s="190"/>
      <c r="AY1114" s="79">
        <v>0.01</v>
      </c>
      <c r="AZ1114" s="94">
        <v>204</v>
      </c>
      <c r="BA1114" s="78">
        <v>0</v>
      </c>
      <c r="BB1114" s="65" t="s">
        <v>1457</v>
      </c>
      <c r="BC1114" s="65" t="s">
        <v>1458</v>
      </c>
      <c r="BD1114" s="65" t="s">
        <v>1459</v>
      </c>
      <c r="BE1114" s="65" t="s">
        <v>1460</v>
      </c>
      <c r="BF1114" s="79"/>
      <c r="BG1114" s="65"/>
      <c r="BH1114" s="78"/>
      <c r="BI1114" s="65"/>
      <c r="BJ1114" s="68">
        <v>1</v>
      </c>
      <c r="BK1114" s="231"/>
    </row>
    <row r="1115" spans="1:63" ht="23.25" customHeight="1" x14ac:dyDescent="0.25">
      <c r="F1115" s="16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17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14"/>
      <c r="AE1115" s="8"/>
      <c r="AF1115" s="8"/>
      <c r="AG1115" s="8"/>
      <c r="AH1115" s="8"/>
      <c r="AV1115" s="27"/>
      <c r="AY1115" s="20"/>
      <c r="BK1115" s="54"/>
    </row>
    <row r="1116" spans="1:63" ht="23.25" customHeight="1" x14ac:dyDescent="0.25">
      <c r="F1116" s="16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17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14"/>
      <c r="AE1116" s="8"/>
      <c r="AF1116" s="8"/>
      <c r="AG1116" s="8"/>
      <c r="AH1116" s="8"/>
      <c r="AV1116" s="27"/>
      <c r="AY1116" s="20"/>
      <c r="BK1116" s="54"/>
    </row>
    <row r="1117" spans="1:63" ht="23.25" customHeight="1" x14ac:dyDescent="0.25">
      <c r="F1117" s="16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17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14"/>
      <c r="AE1117" s="8"/>
      <c r="AF1117" s="8"/>
      <c r="AG1117" s="8"/>
      <c r="AH1117" s="8"/>
      <c r="AV1117" s="27"/>
      <c r="AY1117" s="20"/>
      <c r="BK1117" s="54"/>
    </row>
    <row r="1118" spans="1:63" ht="23.25" customHeight="1" x14ac:dyDescent="0.25">
      <c r="F1118" s="16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17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14"/>
      <c r="AE1118" s="8"/>
      <c r="AF1118" s="8"/>
      <c r="AG1118" s="8"/>
      <c r="AH1118" s="8"/>
      <c r="AV1118" s="27"/>
      <c r="AY1118" s="20"/>
      <c r="BK1118" s="54"/>
    </row>
    <row r="1119" spans="1:63" ht="23.25" customHeight="1" x14ac:dyDescent="0.25">
      <c r="F1119" s="16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17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14"/>
      <c r="AE1119" s="8"/>
      <c r="AF1119" s="8"/>
      <c r="AG1119" s="8"/>
      <c r="AH1119" s="8"/>
      <c r="AV1119" s="27"/>
      <c r="AY1119" s="20"/>
      <c r="BK1119" s="54"/>
    </row>
    <row r="1120" spans="1:63" ht="23.25" customHeight="1" x14ac:dyDescent="0.25">
      <c r="F1120" s="16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17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14"/>
      <c r="AE1120" s="8"/>
      <c r="AF1120" s="8"/>
      <c r="AG1120" s="8"/>
      <c r="AH1120" s="8"/>
      <c r="AV1120" s="27"/>
      <c r="AY1120" s="20"/>
      <c r="BK1120" s="54"/>
    </row>
    <row r="1121" spans="6:63" ht="23.25" customHeight="1" x14ac:dyDescent="0.25">
      <c r="F1121" s="16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17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14"/>
      <c r="AE1121" s="8"/>
      <c r="AF1121" s="8"/>
      <c r="AG1121" s="8"/>
      <c r="AH1121" s="8"/>
      <c r="AV1121" s="27"/>
      <c r="BK1121" s="54"/>
    </row>
    <row r="1122" spans="6:63" ht="23.25" customHeight="1" x14ac:dyDescent="0.25">
      <c r="F1122" s="16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17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14"/>
      <c r="AE1122" s="8"/>
      <c r="AF1122" s="8"/>
      <c r="AG1122" s="8"/>
      <c r="AH1122" s="8"/>
      <c r="AV1122" s="27"/>
      <c r="BK1122" s="54"/>
    </row>
    <row r="1123" spans="6:63" ht="23.25" customHeight="1" x14ac:dyDescent="0.25">
      <c r="F1123" s="16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17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14"/>
      <c r="AE1123" s="8"/>
      <c r="AF1123" s="8"/>
      <c r="AG1123" s="8"/>
      <c r="AH1123" s="8"/>
      <c r="AV1123" s="27"/>
      <c r="BK1123" s="54"/>
    </row>
    <row r="1124" spans="6:63" ht="23.25" customHeight="1" x14ac:dyDescent="0.25">
      <c r="F1124" s="16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17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14"/>
      <c r="AE1124" s="8"/>
      <c r="AF1124" s="8"/>
      <c r="AG1124" s="8"/>
      <c r="AH1124" s="8"/>
      <c r="AV1124" s="27"/>
      <c r="BK1124" s="54"/>
    </row>
    <row r="1125" spans="6:63" ht="23.25" customHeight="1" x14ac:dyDescent="0.25">
      <c r="F1125" s="16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17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14"/>
      <c r="AE1125" s="8"/>
      <c r="AF1125" s="8"/>
      <c r="AG1125" s="8"/>
      <c r="AH1125" s="8"/>
      <c r="AV1125" s="27"/>
      <c r="BK1125" s="54"/>
    </row>
    <row r="1126" spans="6:63" ht="23.25" customHeight="1" x14ac:dyDescent="0.25">
      <c r="F1126" s="16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17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14"/>
      <c r="AE1126" s="8"/>
      <c r="AF1126" s="8"/>
      <c r="AG1126" s="8"/>
      <c r="AH1126" s="8"/>
      <c r="AV1126" s="27"/>
      <c r="BK1126" s="54"/>
    </row>
    <row r="1127" spans="6:63" ht="23.25" customHeight="1" x14ac:dyDescent="0.25">
      <c r="F1127" s="16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17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14"/>
      <c r="AE1127" s="8"/>
      <c r="AF1127" s="8"/>
      <c r="AG1127" s="8"/>
      <c r="AH1127" s="8"/>
      <c r="AV1127" s="27"/>
      <c r="BK1127" s="54"/>
    </row>
    <row r="1128" spans="6:63" ht="23.25" customHeight="1" x14ac:dyDescent="0.25">
      <c r="F1128" s="16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17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14"/>
      <c r="AE1128" s="8"/>
      <c r="AF1128" s="8"/>
      <c r="AG1128" s="8"/>
      <c r="AH1128" s="8"/>
      <c r="AV1128" s="27"/>
      <c r="BK1128" s="54"/>
    </row>
    <row r="1129" spans="6:63" ht="23.25" customHeight="1" x14ac:dyDescent="0.25">
      <c r="F1129" s="16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17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14"/>
      <c r="AE1129" s="8"/>
      <c r="AF1129" s="8"/>
      <c r="AG1129" s="8"/>
      <c r="AH1129" s="8"/>
      <c r="AV1129" s="27"/>
      <c r="BK1129" s="54"/>
    </row>
    <row r="1130" spans="6:63" ht="23.25" customHeight="1" x14ac:dyDescent="0.25">
      <c r="F1130" s="16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17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14"/>
      <c r="AE1130" s="8"/>
      <c r="AF1130" s="8"/>
      <c r="AG1130" s="8"/>
      <c r="AH1130" s="8"/>
      <c r="AV1130" s="27"/>
      <c r="BK1130" s="54"/>
    </row>
    <row r="1131" spans="6:63" ht="23.25" customHeight="1" x14ac:dyDescent="0.25">
      <c r="F1131" s="16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17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14"/>
      <c r="AE1131" s="8"/>
      <c r="AF1131" s="8"/>
      <c r="AG1131" s="8"/>
      <c r="AH1131" s="8"/>
      <c r="AV1131" s="27"/>
      <c r="BK1131" s="54"/>
    </row>
    <row r="1132" spans="6:63" ht="23.25" customHeight="1" x14ac:dyDescent="0.25">
      <c r="F1132" s="16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17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14"/>
      <c r="AE1132" s="8"/>
      <c r="AF1132" s="8"/>
      <c r="AG1132" s="8"/>
      <c r="AH1132" s="8"/>
      <c r="AV1132" s="27"/>
      <c r="BK1132" s="54"/>
    </row>
    <row r="1133" spans="6:63" ht="23.25" customHeight="1" x14ac:dyDescent="0.25">
      <c r="F1133" s="16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17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14"/>
      <c r="AE1133" s="8"/>
      <c r="AF1133" s="8"/>
      <c r="AG1133" s="8"/>
      <c r="AH1133" s="8"/>
      <c r="AV1133" s="27"/>
      <c r="BK1133" s="54"/>
    </row>
    <row r="1134" spans="6:63" ht="23.25" customHeight="1" x14ac:dyDescent="0.25">
      <c r="F1134" s="16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17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14"/>
      <c r="AE1134" s="8"/>
      <c r="AF1134" s="8"/>
      <c r="AG1134" s="8"/>
      <c r="AH1134" s="8"/>
      <c r="AV1134" s="27"/>
      <c r="BK1134" s="54"/>
    </row>
    <row r="1135" spans="6:63" ht="23.25" customHeight="1" x14ac:dyDescent="0.25">
      <c r="F1135" s="16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17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14"/>
      <c r="AE1135" s="8"/>
      <c r="AF1135" s="8"/>
      <c r="AG1135" s="8"/>
      <c r="AH1135" s="8"/>
      <c r="AV1135" s="27"/>
      <c r="BK1135" s="54"/>
    </row>
    <row r="1136" spans="6:63" ht="23.25" customHeight="1" x14ac:dyDescent="0.25">
      <c r="F1136" s="16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17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14"/>
      <c r="AE1136" s="8"/>
      <c r="AF1136" s="8"/>
      <c r="AG1136" s="8"/>
      <c r="AH1136" s="8"/>
      <c r="AV1136" s="27"/>
      <c r="BK1136" s="54"/>
    </row>
    <row r="1137" spans="6:63" ht="23.25" customHeight="1" x14ac:dyDescent="0.25">
      <c r="F1137" s="16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17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14"/>
      <c r="AE1137" s="8"/>
      <c r="AF1137" s="8"/>
      <c r="AG1137" s="8"/>
      <c r="AH1137" s="8"/>
      <c r="AV1137" s="27"/>
      <c r="BK1137" s="54"/>
    </row>
    <row r="1138" spans="6:63" ht="23.25" customHeight="1" x14ac:dyDescent="0.25">
      <c r="F1138" s="16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17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14"/>
      <c r="AE1138" s="8"/>
      <c r="AF1138" s="8"/>
      <c r="AG1138" s="8"/>
      <c r="AH1138" s="8"/>
      <c r="AV1138" s="27"/>
      <c r="BK1138" s="54"/>
    </row>
    <row r="1139" spans="6:63" ht="23.25" customHeight="1" x14ac:dyDescent="0.25">
      <c r="F1139" s="16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17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14"/>
      <c r="AE1139" s="8"/>
      <c r="AF1139" s="8"/>
      <c r="AG1139" s="8"/>
      <c r="AH1139" s="8"/>
      <c r="AV1139" s="27"/>
      <c r="BK1139" s="54"/>
    </row>
    <row r="1140" spans="6:63" ht="23.25" customHeight="1" x14ac:dyDescent="0.25">
      <c r="F1140" s="16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17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14"/>
      <c r="AE1140" s="8"/>
      <c r="AF1140" s="8"/>
      <c r="AG1140" s="8"/>
      <c r="AH1140" s="8"/>
      <c r="AV1140" s="27"/>
      <c r="BK1140" s="54"/>
    </row>
    <row r="1141" spans="6:63" ht="23.25" customHeight="1" x14ac:dyDescent="0.25">
      <c r="F1141" s="16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17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14"/>
      <c r="AE1141" s="8"/>
      <c r="AF1141" s="8"/>
      <c r="AG1141" s="8"/>
      <c r="AH1141" s="8"/>
      <c r="AV1141" s="27"/>
      <c r="BK1141" s="54"/>
    </row>
    <row r="1142" spans="6:63" ht="23.25" customHeight="1" x14ac:dyDescent="0.25">
      <c r="F1142" s="16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17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14"/>
      <c r="AE1142" s="8"/>
      <c r="AF1142" s="8"/>
      <c r="AG1142" s="8"/>
      <c r="AH1142" s="8"/>
      <c r="AV1142" s="27"/>
      <c r="BK1142" s="54"/>
    </row>
    <row r="1143" spans="6:63" ht="23.25" customHeight="1" x14ac:dyDescent="0.25">
      <c r="F1143" s="16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17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14"/>
      <c r="AE1143" s="8"/>
      <c r="AF1143" s="8"/>
      <c r="AG1143" s="8"/>
      <c r="AH1143" s="8"/>
      <c r="AV1143" s="27"/>
      <c r="BK1143" s="54"/>
    </row>
    <row r="1144" spans="6:63" ht="23.25" customHeight="1" x14ac:dyDescent="0.25">
      <c r="F1144" s="16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17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14"/>
      <c r="AE1144" s="8"/>
      <c r="AF1144" s="8"/>
      <c r="AG1144" s="8"/>
      <c r="AH1144" s="8"/>
      <c r="AV1144" s="27"/>
      <c r="BK1144" s="54"/>
    </row>
    <row r="1145" spans="6:63" ht="23.25" customHeight="1" x14ac:dyDescent="0.25">
      <c r="F1145" s="16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17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14"/>
      <c r="AE1145" s="8"/>
      <c r="AF1145" s="8"/>
      <c r="AG1145" s="8"/>
      <c r="AH1145" s="8"/>
      <c r="AV1145" s="27"/>
      <c r="BK1145" s="54"/>
    </row>
    <row r="1146" spans="6:63" ht="23.25" customHeight="1" x14ac:dyDescent="0.25">
      <c r="F1146" s="16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17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14"/>
      <c r="AE1146" s="8"/>
      <c r="AF1146" s="8"/>
      <c r="AG1146" s="8"/>
      <c r="AH1146" s="8"/>
      <c r="AV1146" s="27"/>
      <c r="BK1146" s="54"/>
    </row>
    <row r="1147" spans="6:63" ht="23.25" customHeight="1" x14ac:dyDescent="0.25">
      <c r="F1147" s="16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17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14"/>
      <c r="AE1147" s="8"/>
      <c r="AF1147" s="8"/>
      <c r="AG1147" s="8"/>
      <c r="AH1147" s="8"/>
      <c r="AV1147" s="27"/>
      <c r="BK1147" s="54"/>
    </row>
    <row r="1148" spans="6:63" ht="23.25" customHeight="1" x14ac:dyDescent="0.25">
      <c r="F1148" s="16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17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14"/>
      <c r="AE1148" s="8"/>
      <c r="AF1148" s="8"/>
      <c r="AG1148" s="8"/>
      <c r="AH1148" s="8"/>
      <c r="AV1148" s="27"/>
      <c r="BK1148" s="54"/>
    </row>
    <row r="1149" spans="6:63" ht="23.25" customHeight="1" x14ac:dyDescent="0.25">
      <c r="F1149" s="16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17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14"/>
      <c r="AE1149" s="8"/>
      <c r="AF1149" s="8"/>
      <c r="AG1149" s="8"/>
      <c r="AH1149" s="8"/>
      <c r="AV1149" s="27"/>
      <c r="BK1149" s="54"/>
    </row>
    <row r="1150" spans="6:63" ht="23.25" customHeight="1" x14ac:dyDescent="0.25">
      <c r="F1150" s="16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17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14"/>
      <c r="AE1150" s="8"/>
      <c r="AF1150" s="8"/>
      <c r="AG1150" s="8"/>
      <c r="AH1150" s="8"/>
      <c r="AV1150" s="27"/>
      <c r="BK1150" s="54"/>
    </row>
    <row r="1151" spans="6:63" ht="23.25" customHeight="1" x14ac:dyDescent="0.25">
      <c r="F1151" s="16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17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14"/>
      <c r="AE1151" s="8"/>
      <c r="AF1151" s="8"/>
      <c r="AG1151" s="8"/>
      <c r="AH1151" s="8"/>
      <c r="AV1151" s="27"/>
      <c r="BK1151" s="54"/>
    </row>
    <row r="1152" spans="6:63" ht="23.25" customHeight="1" x14ac:dyDescent="0.25">
      <c r="F1152" s="16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17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14"/>
      <c r="AE1152" s="8"/>
      <c r="AF1152" s="8"/>
      <c r="AG1152" s="8"/>
      <c r="AH1152" s="8"/>
      <c r="AV1152" s="27"/>
      <c r="BK1152" s="54"/>
    </row>
    <row r="1153" spans="6:63" ht="23.25" customHeight="1" x14ac:dyDescent="0.25">
      <c r="F1153" s="16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17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14"/>
      <c r="AE1153" s="8"/>
      <c r="AF1153" s="8"/>
      <c r="AG1153" s="8"/>
      <c r="AH1153" s="8"/>
      <c r="AV1153" s="27"/>
      <c r="BK1153" s="54"/>
    </row>
    <row r="1154" spans="6:63" ht="23.25" customHeight="1" x14ac:dyDescent="0.25">
      <c r="F1154" s="16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17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14"/>
      <c r="AE1154" s="8"/>
      <c r="AF1154" s="8"/>
      <c r="AG1154" s="8"/>
      <c r="AH1154" s="8"/>
      <c r="AV1154" s="27"/>
      <c r="BK1154" s="54"/>
    </row>
    <row r="1155" spans="6:63" ht="23.25" customHeight="1" x14ac:dyDescent="0.25">
      <c r="F1155" s="16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17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14"/>
      <c r="AE1155" s="8"/>
      <c r="AF1155" s="8"/>
      <c r="AG1155" s="8"/>
      <c r="AH1155" s="8"/>
      <c r="AV1155" s="27"/>
      <c r="BK1155" s="54"/>
    </row>
    <row r="1156" spans="6:63" ht="23.25" customHeight="1" x14ac:dyDescent="0.25">
      <c r="F1156" s="16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17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14"/>
      <c r="AE1156" s="8"/>
      <c r="AF1156" s="8"/>
      <c r="AG1156" s="8"/>
      <c r="AH1156" s="8"/>
      <c r="AV1156" s="27"/>
      <c r="BK1156" s="54"/>
    </row>
    <row r="1157" spans="6:63" ht="23.25" customHeight="1" x14ac:dyDescent="0.25">
      <c r="F1157" s="16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17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14"/>
      <c r="AE1157" s="8"/>
      <c r="AF1157" s="8"/>
      <c r="AG1157" s="8"/>
      <c r="AH1157" s="8"/>
      <c r="AV1157" s="27"/>
      <c r="BK1157" s="54"/>
    </row>
    <row r="1158" spans="6:63" ht="23.25" customHeight="1" x14ac:dyDescent="0.25">
      <c r="F1158" s="16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17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14"/>
      <c r="AE1158" s="8"/>
      <c r="AF1158" s="8"/>
      <c r="AG1158" s="8"/>
      <c r="AH1158" s="8"/>
      <c r="AV1158" s="27"/>
      <c r="BK1158" s="54"/>
    </row>
    <row r="1159" spans="6:63" ht="23.25" customHeight="1" x14ac:dyDescent="0.25">
      <c r="F1159" s="16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17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14"/>
      <c r="AE1159" s="8"/>
      <c r="AF1159" s="8"/>
      <c r="AG1159" s="8"/>
      <c r="AH1159" s="8"/>
      <c r="AV1159" s="27"/>
      <c r="BK1159" s="54"/>
    </row>
    <row r="1160" spans="6:63" ht="23.25" customHeight="1" x14ac:dyDescent="0.25">
      <c r="F1160" s="16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17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14"/>
      <c r="AE1160" s="8"/>
      <c r="AF1160" s="8"/>
      <c r="AG1160" s="8"/>
      <c r="AH1160" s="8"/>
      <c r="AV1160" s="27"/>
      <c r="BK1160" s="54"/>
    </row>
    <row r="1161" spans="6:63" ht="23.25" customHeight="1" x14ac:dyDescent="0.25">
      <c r="F1161" s="16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17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14"/>
      <c r="AE1161" s="8"/>
      <c r="AF1161" s="8"/>
      <c r="AG1161" s="8"/>
      <c r="AH1161" s="8"/>
      <c r="AV1161" s="27"/>
      <c r="BK1161" s="54"/>
    </row>
    <row r="1162" spans="6:63" ht="23.25" customHeight="1" x14ac:dyDescent="0.25">
      <c r="F1162" s="16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17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14"/>
      <c r="AE1162" s="8"/>
      <c r="AF1162" s="8"/>
      <c r="AG1162" s="8"/>
      <c r="AH1162" s="8"/>
      <c r="AV1162" s="27"/>
      <c r="BK1162" s="54"/>
    </row>
    <row r="1163" spans="6:63" ht="23.25" customHeight="1" x14ac:dyDescent="0.25">
      <c r="F1163" s="16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17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14"/>
      <c r="AE1163" s="8"/>
      <c r="AF1163" s="8"/>
      <c r="AG1163" s="8"/>
      <c r="AH1163" s="8"/>
      <c r="AV1163" s="27"/>
      <c r="BK1163" s="54"/>
    </row>
    <row r="1164" spans="6:63" ht="23.25" customHeight="1" x14ac:dyDescent="0.25">
      <c r="F1164" s="16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17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14"/>
      <c r="AE1164" s="8"/>
      <c r="AF1164" s="8"/>
      <c r="AG1164" s="8"/>
      <c r="AH1164" s="8"/>
      <c r="AV1164" s="27"/>
      <c r="BK1164" s="54"/>
    </row>
    <row r="1165" spans="6:63" ht="23.25" customHeight="1" x14ac:dyDescent="0.25">
      <c r="F1165" s="16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17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14"/>
      <c r="AE1165" s="8"/>
      <c r="AF1165" s="8"/>
      <c r="AG1165" s="8"/>
      <c r="AH1165" s="8"/>
      <c r="AV1165" s="27"/>
      <c r="BK1165" s="54"/>
    </row>
    <row r="1166" spans="6:63" ht="23.25" customHeight="1" x14ac:dyDescent="0.25">
      <c r="F1166" s="16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17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14"/>
      <c r="AE1166" s="8"/>
      <c r="AF1166" s="8"/>
      <c r="AG1166" s="8"/>
      <c r="AH1166" s="8"/>
      <c r="AV1166" s="27"/>
      <c r="BK1166" s="54"/>
    </row>
    <row r="1167" spans="6:63" ht="23.25" customHeight="1" x14ac:dyDescent="0.25">
      <c r="F1167" s="16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17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14"/>
      <c r="AE1167" s="8"/>
      <c r="AF1167" s="8"/>
      <c r="AG1167" s="8"/>
      <c r="AH1167" s="8"/>
      <c r="AV1167" s="27"/>
      <c r="BK1167" s="54"/>
    </row>
    <row r="1168" spans="6:63" ht="23.25" customHeight="1" x14ac:dyDescent="0.25">
      <c r="F1168" s="16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17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14"/>
      <c r="AE1168" s="8"/>
      <c r="AF1168" s="8"/>
      <c r="AG1168" s="8"/>
      <c r="AH1168" s="8"/>
      <c r="AV1168" s="27"/>
      <c r="BK1168" s="54"/>
    </row>
    <row r="1169" spans="6:63" ht="23.25" customHeight="1" x14ac:dyDescent="0.25">
      <c r="F1169" s="16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17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14"/>
      <c r="AE1169" s="8"/>
      <c r="AF1169" s="8"/>
      <c r="AG1169" s="8"/>
      <c r="AH1169" s="8"/>
      <c r="AV1169" s="27"/>
      <c r="BK1169" s="54"/>
    </row>
    <row r="1170" spans="6:63" ht="23.25" customHeight="1" x14ac:dyDescent="0.25">
      <c r="F1170" s="16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17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14"/>
      <c r="AE1170" s="8"/>
      <c r="AF1170" s="8"/>
      <c r="AG1170" s="8"/>
      <c r="AH1170" s="8"/>
      <c r="AV1170" s="27"/>
      <c r="BK1170" s="54"/>
    </row>
    <row r="1171" spans="6:63" ht="23.25" customHeight="1" x14ac:dyDescent="0.25">
      <c r="F1171" s="16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17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14"/>
      <c r="AE1171" s="8"/>
      <c r="AF1171" s="8"/>
      <c r="AG1171" s="8"/>
      <c r="AH1171" s="8"/>
      <c r="AV1171" s="27"/>
      <c r="BK1171" s="54"/>
    </row>
    <row r="1172" spans="6:63" ht="23.25" customHeight="1" x14ac:dyDescent="0.25">
      <c r="F1172" s="16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17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14"/>
      <c r="AE1172" s="8"/>
      <c r="AF1172" s="8"/>
      <c r="AG1172" s="8"/>
      <c r="AH1172" s="8"/>
      <c r="AV1172" s="27"/>
      <c r="BK1172" s="54"/>
    </row>
    <row r="1173" spans="6:63" ht="23.25" customHeight="1" x14ac:dyDescent="0.25">
      <c r="F1173" s="16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17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14"/>
      <c r="AE1173" s="8"/>
      <c r="AF1173" s="8"/>
      <c r="AG1173" s="8"/>
      <c r="AH1173" s="8"/>
      <c r="AV1173" s="27"/>
      <c r="BK1173" s="54"/>
    </row>
    <row r="1174" spans="6:63" ht="23.25" customHeight="1" x14ac:dyDescent="0.25">
      <c r="F1174" s="16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17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14"/>
      <c r="AE1174" s="8"/>
      <c r="AF1174" s="8"/>
      <c r="AG1174" s="8"/>
      <c r="AH1174" s="8"/>
      <c r="AV1174" s="27"/>
      <c r="BK1174" s="54"/>
    </row>
    <row r="1175" spans="6:63" ht="23.25" customHeight="1" x14ac:dyDescent="0.25">
      <c r="F1175" s="16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17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14"/>
      <c r="AE1175" s="8"/>
      <c r="AF1175" s="8"/>
      <c r="AG1175" s="8"/>
      <c r="AH1175" s="8"/>
      <c r="AV1175" s="27"/>
      <c r="BK1175" s="54"/>
    </row>
    <row r="1176" spans="6:63" ht="23.25" customHeight="1" x14ac:dyDescent="0.25">
      <c r="F1176" s="16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17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14"/>
      <c r="AE1176" s="8"/>
      <c r="AF1176" s="8"/>
      <c r="AG1176" s="8"/>
      <c r="AH1176" s="8"/>
      <c r="AV1176" s="27"/>
      <c r="BK1176" s="54"/>
    </row>
    <row r="1177" spans="6:63" ht="23.25" customHeight="1" x14ac:dyDescent="0.25">
      <c r="F1177" s="16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17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14"/>
      <c r="AE1177" s="8"/>
      <c r="AF1177" s="8"/>
      <c r="AG1177" s="8"/>
      <c r="AH1177" s="8"/>
      <c r="AV1177" s="27"/>
      <c r="BK1177" s="54"/>
    </row>
    <row r="1178" spans="6:63" ht="23.25" customHeight="1" x14ac:dyDescent="0.25">
      <c r="F1178" s="16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17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14"/>
      <c r="AE1178" s="8"/>
      <c r="AF1178" s="8"/>
      <c r="AG1178" s="8"/>
      <c r="AH1178" s="8"/>
      <c r="AV1178" s="27"/>
      <c r="BK1178" s="54"/>
    </row>
    <row r="1179" spans="6:63" ht="23.25" customHeight="1" x14ac:dyDescent="0.25">
      <c r="F1179" s="16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17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14"/>
      <c r="AE1179" s="8"/>
      <c r="AF1179" s="8"/>
      <c r="AG1179" s="8"/>
      <c r="AH1179" s="8"/>
      <c r="AV1179" s="27"/>
      <c r="BK1179" s="54"/>
    </row>
    <row r="1180" spans="6:63" ht="23.25" customHeight="1" x14ac:dyDescent="0.25">
      <c r="F1180" s="16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17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14"/>
      <c r="AE1180" s="8"/>
      <c r="AF1180" s="8"/>
      <c r="AG1180" s="8"/>
      <c r="AH1180" s="8"/>
      <c r="AV1180" s="27"/>
      <c r="BK1180" s="54"/>
    </row>
    <row r="1181" spans="6:63" ht="23.25" customHeight="1" x14ac:dyDescent="0.25">
      <c r="F1181" s="16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17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14"/>
      <c r="AE1181" s="8"/>
      <c r="AF1181" s="8"/>
      <c r="AG1181" s="8"/>
      <c r="AH1181" s="8"/>
      <c r="AV1181" s="27"/>
      <c r="BK1181" s="54"/>
    </row>
    <row r="1182" spans="6:63" ht="23.25" customHeight="1" x14ac:dyDescent="0.25">
      <c r="F1182" s="16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17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14"/>
      <c r="AE1182" s="8"/>
      <c r="AF1182" s="8"/>
      <c r="AG1182" s="8"/>
      <c r="AH1182" s="8"/>
      <c r="AV1182" s="27"/>
      <c r="BK1182" s="54"/>
    </row>
    <row r="1183" spans="6:63" ht="23.25" customHeight="1" x14ac:dyDescent="0.25">
      <c r="F1183" s="16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17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14"/>
      <c r="AE1183" s="8"/>
      <c r="AF1183" s="8"/>
      <c r="AG1183" s="8"/>
      <c r="AH1183" s="8"/>
      <c r="AV1183" s="27"/>
      <c r="BK1183" s="54"/>
    </row>
    <row r="1184" spans="6:63" ht="23.25" customHeight="1" x14ac:dyDescent="0.25">
      <c r="F1184" s="16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17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14"/>
      <c r="AE1184" s="8"/>
      <c r="AF1184" s="8"/>
      <c r="AG1184" s="8"/>
      <c r="AH1184" s="8"/>
      <c r="AV1184" s="27"/>
      <c r="BK1184" s="54"/>
    </row>
    <row r="1185" spans="6:63" ht="23.25" customHeight="1" x14ac:dyDescent="0.25">
      <c r="F1185" s="16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17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14"/>
      <c r="AE1185" s="8"/>
      <c r="AF1185" s="8"/>
      <c r="AG1185" s="8"/>
      <c r="AH1185" s="8"/>
      <c r="AV1185" s="27"/>
      <c r="BK1185" s="54"/>
    </row>
    <row r="1186" spans="6:63" ht="23.25" customHeight="1" x14ac:dyDescent="0.25">
      <c r="F1186" s="16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17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14"/>
      <c r="AE1186" s="8"/>
      <c r="AF1186" s="8"/>
      <c r="AG1186" s="8"/>
      <c r="AH1186" s="8"/>
      <c r="AV1186" s="27"/>
      <c r="BK1186" s="54"/>
    </row>
    <row r="1187" spans="6:63" ht="23.25" customHeight="1" x14ac:dyDescent="0.25">
      <c r="F1187" s="16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17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14"/>
      <c r="AE1187" s="8"/>
      <c r="AF1187" s="8"/>
      <c r="AG1187" s="8"/>
      <c r="AH1187" s="8"/>
      <c r="AV1187" s="27"/>
      <c r="BK1187" s="54"/>
    </row>
    <row r="1188" spans="6:63" ht="23.25" customHeight="1" x14ac:dyDescent="0.25">
      <c r="F1188" s="16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17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14"/>
      <c r="AE1188" s="8"/>
      <c r="AF1188" s="8"/>
      <c r="AG1188" s="8"/>
      <c r="AH1188" s="8"/>
      <c r="AV1188" s="27"/>
      <c r="BK1188" s="54"/>
    </row>
    <row r="1189" spans="6:63" ht="23.25" customHeight="1" x14ac:dyDescent="0.25">
      <c r="F1189" s="16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17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14"/>
      <c r="AE1189" s="8"/>
      <c r="AF1189" s="8"/>
      <c r="AG1189" s="8"/>
      <c r="AH1189" s="8"/>
      <c r="AV1189" s="27"/>
      <c r="BK1189" s="54"/>
    </row>
    <row r="1190" spans="6:63" ht="23.25" customHeight="1" x14ac:dyDescent="0.25">
      <c r="F1190" s="16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17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14"/>
      <c r="AE1190" s="8"/>
      <c r="AF1190" s="8"/>
      <c r="AG1190" s="8"/>
      <c r="AH1190" s="8"/>
      <c r="AV1190" s="27"/>
      <c r="BK1190" s="54"/>
    </row>
    <row r="1191" spans="6:63" ht="23.25" customHeight="1" x14ac:dyDescent="0.25">
      <c r="F1191" s="16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17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14"/>
      <c r="AE1191" s="8"/>
      <c r="AF1191" s="8"/>
      <c r="AG1191" s="8"/>
      <c r="AH1191" s="8"/>
      <c r="AV1191" s="27"/>
      <c r="BK1191" s="54"/>
    </row>
    <row r="1192" spans="6:63" ht="23.25" customHeight="1" x14ac:dyDescent="0.25">
      <c r="F1192" s="16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17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14"/>
      <c r="AE1192" s="8"/>
      <c r="AF1192" s="8"/>
      <c r="AG1192" s="8"/>
      <c r="AH1192" s="8"/>
      <c r="AV1192" s="27"/>
      <c r="BK1192" s="54"/>
    </row>
    <row r="1193" spans="6:63" ht="23.25" customHeight="1" x14ac:dyDescent="0.25">
      <c r="F1193" s="16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17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14"/>
      <c r="AE1193" s="8"/>
      <c r="AF1193" s="8"/>
      <c r="AG1193" s="8"/>
      <c r="AH1193" s="8"/>
      <c r="AV1193" s="27"/>
      <c r="BK1193" s="54"/>
    </row>
    <row r="1194" spans="6:63" ht="23.25" customHeight="1" x14ac:dyDescent="0.25">
      <c r="F1194" s="16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17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14"/>
      <c r="AE1194" s="8"/>
      <c r="AF1194" s="8"/>
      <c r="AG1194" s="8"/>
      <c r="AH1194" s="8"/>
      <c r="AV1194" s="27"/>
      <c r="BK1194" s="54"/>
    </row>
    <row r="1195" spans="6:63" ht="23.25" customHeight="1" x14ac:dyDescent="0.25">
      <c r="F1195" s="16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17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14"/>
      <c r="AE1195" s="8"/>
      <c r="AF1195" s="8"/>
      <c r="AG1195" s="8"/>
      <c r="AH1195" s="8"/>
      <c r="AV1195" s="27"/>
      <c r="BK1195" s="54"/>
    </row>
    <row r="1196" spans="6:63" ht="23.25" customHeight="1" x14ac:dyDescent="0.25">
      <c r="F1196" s="16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17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14"/>
      <c r="AE1196" s="8"/>
      <c r="AF1196" s="8"/>
      <c r="AG1196" s="8"/>
      <c r="AH1196" s="8"/>
      <c r="AV1196" s="27"/>
      <c r="BK1196" s="54"/>
    </row>
    <row r="1197" spans="6:63" ht="23.25" customHeight="1" x14ac:dyDescent="0.25">
      <c r="F1197" s="16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17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14"/>
      <c r="AE1197" s="8"/>
      <c r="AF1197" s="8"/>
      <c r="AG1197" s="8"/>
      <c r="AH1197" s="8"/>
      <c r="AV1197" s="27"/>
      <c r="BK1197" s="54"/>
    </row>
    <row r="1198" spans="6:63" ht="23.25" customHeight="1" x14ac:dyDescent="0.25">
      <c r="F1198" s="16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17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14"/>
      <c r="AE1198" s="8"/>
      <c r="AF1198" s="8"/>
      <c r="AG1198" s="8"/>
      <c r="AH1198" s="8"/>
      <c r="AV1198" s="27"/>
      <c r="BK1198" s="54"/>
    </row>
    <row r="1199" spans="6:63" ht="23.25" customHeight="1" x14ac:dyDescent="0.25">
      <c r="F1199" s="16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17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14"/>
      <c r="AE1199" s="8"/>
      <c r="AF1199" s="8"/>
      <c r="AG1199" s="8"/>
      <c r="AH1199" s="8"/>
      <c r="AV1199" s="27"/>
      <c r="BK1199" s="54"/>
    </row>
    <row r="1200" spans="6:63" ht="23.25" customHeight="1" x14ac:dyDescent="0.25">
      <c r="F1200" s="16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17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14"/>
      <c r="AE1200" s="8"/>
      <c r="AF1200" s="8"/>
      <c r="AG1200" s="8"/>
      <c r="AH1200" s="8"/>
      <c r="BK1200" s="54"/>
    </row>
    <row r="1201" spans="6:63" ht="23.25" customHeight="1" x14ac:dyDescent="0.25">
      <c r="F1201" s="16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17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14"/>
      <c r="AE1201" s="8"/>
      <c r="AF1201" s="8"/>
      <c r="AG1201" s="8"/>
      <c r="AH1201" s="8"/>
      <c r="BK1201" s="54"/>
    </row>
    <row r="1202" spans="6:63" ht="23.25" customHeight="1" x14ac:dyDescent="0.25">
      <c r="F1202" s="16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17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14"/>
      <c r="AE1202" s="8"/>
      <c r="AF1202" s="8"/>
      <c r="AG1202" s="8"/>
      <c r="AH1202" s="8"/>
      <c r="BK1202" s="54"/>
    </row>
    <row r="1203" spans="6:63" x14ac:dyDescent="0.25">
      <c r="F1203" s="16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17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14"/>
      <c r="AE1203" s="8"/>
      <c r="AF1203" s="8"/>
      <c r="AG1203" s="8"/>
      <c r="AH1203" s="8"/>
      <c r="BK1203" s="54"/>
    </row>
    <row r="1204" spans="6:63" x14ac:dyDescent="0.25">
      <c r="F1204" s="16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17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14"/>
      <c r="AE1204" s="8"/>
      <c r="AF1204" s="8"/>
      <c r="AG1204" s="8"/>
      <c r="AH1204" s="8"/>
      <c r="BK1204" s="54"/>
    </row>
    <row r="1205" spans="6:63" x14ac:dyDescent="0.25">
      <c r="F1205" s="16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17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14"/>
      <c r="AE1205" s="8"/>
      <c r="AF1205" s="8"/>
      <c r="AG1205" s="8"/>
      <c r="AH1205" s="8"/>
      <c r="BK1205" s="54"/>
    </row>
    <row r="1206" spans="6:63" x14ac:dyDescent="0.25">
      <c r="F1206" s="16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17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14"/>
      <c r="AE1206" s="8"/>
      <c r="AF1206" s="8"/>
      <c r="AG1206" s="8"/>
      <c r="AH1206" s="8"/>
      <c r="BK1206" s="54"/>
    </row>
    <row r="1207" spans="6:63" x14ac:dyDescent="0.25">
      <c r="F1207" s="16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17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14"/>
      <c r="AE1207" s="8"/>
      <c r="AF1207" s="8"/>
      <c r="AG1207" s="8"/>
      <c r="AH1207" s="8"/>
      <c r="BK1207" s="54"/>
    </row>
    <row r="1208" spans="6:63" x14ac:dyDescent="0.25">
      <c r="F1208" s="16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17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14"/>
      <c r="AE1208" s="8"/>
      <c r="AF1208" s="8"/>
      <c r="AG1208" s="8"/>
      <c r="AH1208" s="8"/>
      <c r="BK1208" s="54"/>
    </row>
    <row r="1209" spans="6:63" x14ac:dyDescent="0.25">
      <c r="F1209" s="16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17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14"/>
      <c r="AE1209" s="8"/>
      <c r="AF1209" s="8"/>
      <c r="AG1209" s="8"/>
      <c r="AH1209" s="8"/>
      <c r="BK1209" s="54"/>
    </row>
    <row r="1210" spans="6:63" x14ac:dyDescent="0.25">
      <c r="F1210" s="16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17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14"/>
      <c r="AE1210" s="8"/>
      <c r="AF1210" s="8"/>
      <c r="AG1210" s="8"/>
      <c r="AH1210" s="8"/>
      <c r="BK1210" s="54"/>
    </row>
    <row r="1211" spans="6:63" x14ac:dyDescent="0.25">
      <c r="F1211" s="16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17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14"/>
      <c r="AE1211" s="8"/>
      <c r="AF1211" s="8"/>
      <c r="AG1211" s="8"/>
      <c r="AH1211" s="8"/>
      <c r="BK1211" s="54"/>
    </row>
    <row r="1212" spans="6:63" x14ac:dyDescent="0.25">
      <c r="F1212" s="16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17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14"/>
      <c r="AE1212" s="8"/>
      <c r="AF1212" s="8"/>
      <c r="AG1212" s="8"/>
      <c r="AH1212" s="8"/>
      <c r="BK1212" s="54"/>
    </row>
    <row r="1213" spans="6:63" x14ac:dyDescent="0.25">
      <c r="F1213" s="16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17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14"/>
      <c r="AE1213" s="8"/>
      <c r="AF1213" s="8"/>
      <c r="AG1213" s="8"/>
      <c r="AH1213" s="8"/>
      <c r="BK1213" s="54"/>
    </row>
    <row r="1214" spans="6:63" x14ac:dyDescent="0.25">
      <c r="F1214" s="16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17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14"/>
      <c r="AE1214" s="8"/>
      <c r="AF1214" s="8"/>
      <c r="AG1214" s="8"/>
      <c r="AH1214" s="8"/>
      <c r="BK1214" s="54"/>
    </row>
    <row r="1215" spans="6:63" x14ac:dyDescent="0.25">
      <c r="F1215" s="16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17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14"/>
      <c r="AE1215" s="8"/>
      <c r="AF1215" s="8"/>
      <c r="AG1215" s="8"/>
      <c r="AH1215" s="8"/>
      <c r="BK1215" s="54"/>
    </row>
    <row r="1216" spans="6:63" x14ac:dyDescent="0.25">
      <c r="F1216" s="16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17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14"/>
      <c r="AE1216" s="8"/>
      <c r="AF1216" s="8"/>
      <c r="AG1216" s="8"/>
      <c r="AH1216" s="8"/>
      <c r="BK1216" s="54"/>
    </row>
    <row r="1217" spans="6:63" x14ac:dyDescent="0.25">
      <c r="F1217" s="16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17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14"/>
      <c r="AE1217" s="8"/>
      <c r="AF1217" s="8"/>
      <c r="AG1217" s="8"/>
      <c r="AH1217" s="8"/>
      <c r="BK1217" s="175"/>
    </row>
    <row r="1218" spans="6:63" x14ac:dyDescent="0.25">
      <c r="F1218" s="16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17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14"/>
      <c r="AE1218" s="8"/>
      <c r="AF1218" s="8"/>
      <c r="AG1218" s="8"/>
      <c r="AH1218" s="8"/>
      <c r="BK1218" s="175"/>
    </row>
    <row r="1219" spans="6:63" x14ac:dyDescent="0.25">
      <c r="F1219" s="16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17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14"/>
      <c r="AE1219" s="8"/>
      <c r="AF1219" s="8"/>
      <c r="AG1219" s="8"/>
      <c r="AH1219" s="8"/>
      <c r="BK1219" s="175"/>
    </row>
    <row r="1220" spans="6:63" x14ac:dyDescent="0.25">
      <c r="F1220" s="16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17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14"/>
      <c r="AE1220" s="8"/>
      <c r="AF1220" s="8"/>
      <c r="AG1220" s="8"/>
      <c r="AH1220" s="8"/>
      <c r="BK1220" s="175"/>
    </row>
    <row r="1221" spans="6:63" x14ac:dyDescent="0.25">
      <c r="F1221" s="16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17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14"/>
      <c r="AE1221" s="8"/>
      <c r="AF1221" s="8"/>
      <c r="AG1221" s="8"/>
      <c r="AH1221" s="8"/>
      <c r="BK1221" s="175"/>
    </row>
    <row r="1222" spans="6:63" x14ac:dyDescent="0.25">
      <c r="F1222" s="16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17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14"/>
      <c r="AE1222" s="8"/>
      <c r="AF1222" s="8"/>
      <c r="AG1222" s="8"/>
      <c r="AH1222" s="8"/>
      <c r="BK1222" s="175"/>
    </row>
    <row r="1223" spans="6:63" x14ac:dyDescent="0.25">
      <c r="F1223" s="16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17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14"/>
      <c r="AE1223" s="8"/>
      <c r="AF1223" s="8"/>
      <c r="AG1223" s="8"/>
      <c r="AH1223" s="8"/>
      <c r="BK1223" s="175"/>
    </row>
    <row r="1224" spans="6:63" x14ac:dyDescent="0.25">
      <c r="F1224" s="16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17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14"/>
      <c r="AE1224" s="8"/>
      <c r="AF1224" s="8"/>
      <c r="AG1224" s="8"/>
      <c r="AH1224" s="8"/>
      <c r="BK1224" s="175"/>
    </row>
    <row r="1225" spans="6:63" x14ac:dyDescent="0.25">
      <c r="F1225" s="16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17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14"/>
      <c r="AE1225" s="8"/>
      <c r="AF1225" s="8"/>
      <c r="AG1225" s="8"/>
      <c r="AH1225" s="8"/>
      <c r="BK1225" s="175"/>
    </row>
    <row r="1226" spans="6:63" x14ac:dyDescent="0.25">
      <c r="F1226" s="16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17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14"/>
      <c r="AE1226" s="8"/>
      <c r="AF1226" s="8"/>
      <c r="AG1226" s="8"/>
      <c r="AH1226" s="8"/>
      <c r="BK1226" s="175"/>
    </row>
    <row r="1227" spans="6:63" x14ac:dyDescent="0.25">
      <c r="F1227" s="16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17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14"/>
      <c r="AE1227" s="8"/>
      <c r="AF1227" s="8"/>
      <c r="AG1227" s="8"/>
      <c r="AH1227" s="8"/>
      <c r="BK1227" s="175"/>
    </row>
    <row r="1228" spans="6:63" x14ac:dyDescent="0.25">
      <c r="F1228" s="16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17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14"/>
      <c r="AE1228" s="8"/>
      <c r="AF1228" s="8"/>
      <c r="AG1228" s="8"/>
      <c r="AH1228" s="8"/>
      <c r="BK1228" s="175"/>
    </row>
    <row r="1229" spans="6:63" x14ac:dyDescent="0.25">
      <c r="F1229" s="16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17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14"/>
      <c r="AE1229" s="8"/>
      <c r="AF1229" s="8"/>
      <c r="AG1229" s="8"/>
      <c r="AH1229" s="8"/>
      <c r="BK1229" s="175"/>
    </row>
    <row r="1230" spans="6:63" x14ac:dyDescent="0.25">
      <c r="F1230" s="16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17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14"/>
      <c r="AE1230" s="8"/>
      <c r="AF1230" s="8"/>
      <c r="AG1230" s="8"/>
      <c r="AH1230" s="8"/>
      <c r="BK1230" s="175"/>
    </row>
    <row r="1231" spans="6:63" x14ac:dyDescent="0.25">
      <c r="F1231" s="16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17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14"/>
      <c r="AE1231" s="8"/>
      <c r="AF1231" s="8"/>
      <c r="AG1231" s="8"/>
      <c r="AH1231" s="8"/>
      <c r="BK1231" s="175"/>
    </row>
    <row r="1232" spans="6:63" x14ac:dyDescent="0.25">
      <c r="F1232" s="16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17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14"/>
      <c r="AE1232" s="8"/>
      <c r="AF1232" s="8"/>
      <c r="AG1232" s="8"/>
      <c r="AH1232" s="8"/>
      <c r="BK1232" s="175"/>
    </row>
    <row r="1233" spans="6:63" x14ac:dyDescent="0.25">
      <c r="F1233" s="16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17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14"/>
      <c r="AE1233" s="8"/>
      <c r="AF1233" s="8"/>
      <c r="AG1233" s="8"/>
      <c r="AH1233" s="8"/>
      <c r="BK1233" s="175"/>
    </row>
    <row r="1234" spans="6:63" x14ac:dyDescent="0.25">
      <c r="F1234" s="16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17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14"/>
      <c r="AE1234" s="8"/>
      <c r="AF1234" s="8"/>
      <c r="AG1234" s="8"/>
      <c r="AH1234" s="8"/>
      <c r="BK1234" s="175"/>
    </row>
    <row r="1235" spans="6:63" x14ac:dyDescent="0.25">
      <c r="F1235" s="16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17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14"/>
      <c r="AE1235" s="8"/>
      <c r="AF1235" s="8"/>
      <c r="AG1235" s="8"/>
      <c r="AH1235" s="8"/>
      <c r="BK1235" s="175"/>
    </row>
    <row r="1236" spans="6:63" x14ac:dyDescent="0.25">
      <c r="F1236" s="16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17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14"/>
      <c r="AE1236" s="8"/>
      <c r="AF1236" s="8"/>
      <c r="AG1236" s="8"/>
      <c r="AH1236" s="8"/>
      <c r="BK1236" s="175"/>
    </row>
    <row r="1237" spans="6:63" x14ac:dyDescent="0.25">
      <c r="F1237" s="16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17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14"/>
      <c r="AE1237" s="8"/>
      <c r="AF1237" s="8"/>
      <c r="AG1237" s="8"/>
      <c r="AH1237" s="8"/>
      <c r="BK1237" s="175"/>
    </row>
    <row r="1238" spans="6:63" x14ac:dyDescent="0.25">
      <c r="F1238" s="16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17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14"/>
      <c r="AE1238" s="8"/>
      <c r="AF1238" s="8"/>
      <c r="AG1238" s="8"/>
      <c r="AH1238" s="8"/>
      <c r="BK1238" s="175"/>
    </row>
    <row r="1239" spans="6:63" x14ac:dyDescent="0.25">
      <c r="F1239" s="16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17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14"/>
      <c r="AE1239" s="8"/>
      <c r="AF1239" s="8"/>
      <c r="AG1239" s="8"/>
      <c r="AH1239" s="8"/>
      <c r="BK1239" s="175"/>
    </row>
    <row r="1240" spans="6:63" x14ac:dyDescent="0.25">
      <c r="F1240" s="16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17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14"/>
      <c r="AE1240" s="8"/>
      <c r="AF1240" s="8"/>
      <c r="AG1240" s="8"/>
      <c r="AH1240" s="8"/>
      <c r="BK1240" s="175"/>
    </row>
    <row r="1241" spans="6:63" x14ac:dyDescent="0.25">
      <c r="F1241" s="16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17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14"/>
      <c r="AE1241" s="8"/>
      <c r="AF1241" s="8"/>
      <c r="AG1241" s="8"/>
      <c r="AH1241" s="8"/>
      <c r="BK1241" s="175"/>
    </row>
    <row r="1242" spans="6:63" x14ac:dyDescent="0.25">
      <c r="F1242" s="16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17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14"/>
      <c r="AE1242" s="8"/>
      <c r="AF1242" s="8"/>
      <c r="AG1242" s="8"/>
      <c r="AH1242" s="8"/>
      <c r="BK1242" s="175"/>
    </row>
    <row r="1243" spans="6:63" x14ac:dyDescent="0.25">
      <c r="F1243" s="16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17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14"/>
      <c r="AE1243" s="8"/>
      <c r="AF1243" s="8"/>
      <c r="AG1243" s="8"/>
      <c r="AH1243" s="8"/>
      <c r="BK1243" s="175"/>
    </row>
    <row r="1244" spans="6:63" x14ac:dyDescent="0.25">
      <c r="F1244" s="16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17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14"/>
      <c r="AE1244" s="8"/>
      <c r="AF1244" s="8"/>
      <c r="AG1244" s="8"/>
      <c r="AH1244" s="8"/>
      <c r="BK1244" s="175"/>
    </row>
    <row r="1245" spans="6:63" x14ac:dyDescent="0.25">
      <c r="F1245" s="16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17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14"/>
      <c r="AE1245" s="8"/>
      <c r="AF1245" s="8"/>
      <c r="AG1245" s="8"/>
      <c r="AH1245" s="8"/>
      <c r="BK1245" s="175"/>
    </row>
    <row r="1246" spans="6:63" x14ac:dyDescent="0.25">
      <c r="F1246" s="16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17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14"/>
      <c r="AE1246" s="8"/>
      <c r="AF1246" s="8"/>
      <c r="AG1246" s="8"/>
      <c r="AH1246" s="8"/>
      <c r="BK1246" s="175"/>
    </row>
    <row r="1247" spans="6:63" x14ac:dyDescent="0.25">
      <c r="F1247" s="16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17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14"/>
      <c r="AE1247" s="8"/>
      <c r="AF1247" s="8"/>
      <c r="AG1247" s="8"/>
      <c r="AH1247" s="8"/>
      <c r="BK1247" s="175"/>
    </row>
    <row r="1248" spans="6:63" x14ac:dyDescent="0.25">
      <c r="F1248" s="16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17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14"/>
      <c r="AE1248" s="8"/>
      <c r="AF1248" s="8"/>
      <c r="AG1248" s="8"/>
      <c r="AH1248" s="8"/>
      <c r="BK1248" s="175"/>
    </row>
    <row r="1249" spans="6:63" x14ac:dyDescent="0.25">
      <c r="F1249" s="16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17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14"/>
      <c r="AE1249" s="8"/>
      <c r="AF1249" s="8"/>
      <c r="AG1249" s="8"/>
      <c r="AH1249" s="8"/>
      <c r="BK1249" s="175"/>
    </row>
    <row r="1250" spans="6:63" x14ac:dyDescent="0.25">
      <c r="F1250" s="16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17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14"/>
      <c r="AE1250" s="8"/>
      <c r="AF1250" s="8"/>
      <c r="AG1250" s="8"/>
      <c r="AH1250" s="8"/>
      <c r="BK1250" s="175"/>
    </row>
    <row r="1251" spans="6:63" x14ac:dyDescent="0.25">
      <c r="F1251" s="16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17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14"/>
      <c r="AE1251" s="8"/>
      <c r="AF1251" s="8"/>
      <c r="AG1251" s="8"/>
      <c r="AH1251" s="8"/>
      <c r="BK1251" s="175"/>
    </row>
    <row r="1252" spans="6:63" x14ac:dyDescent="0.25">
      <c r="F1252" s="16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17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14"/>
      <c r="AE1252" s="8"/>
      <c r="AF1252" s="8"/>
      <c r="AG1252" s="8"/>
      <c r="AH1252" s="8"/>
      <c r="BK1252" s="175"/>
    </row>
    <row r="1253" spans="6:63" x14ac:dyDescent="0.25">
      <c r="F1253" s="16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17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14"/>
      <c r="AE1253" s="8"/>
      <c r="AF1253" s="8"/>
      <c r="AG1253" s="8"/>
      <c r="AH1253" s="8"/>
      <c r="BK1253" s="175"/>
    </row>
    <row r="1254" spans="6:63" x14ac:dyDescent="0.25">
      <c r="F1254" s="16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17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14"/>
      <c r="AE1254" s="8"/>
      <c r="AF1254" s="8"/>
      <c r="AG1254" s="8"/>
      <c r="AH1254" s="8"/>
      <c r="BK1254" s="175"/>
    </row>
    <row r="1255" spans="6:63" x14ac:dyDescent="0.25">
      <c r="F1255" s="16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17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14"/>
      <c r="AE1255" s="8"/>
      <c r="AF1255" s="8"/>
      <c r="AG1255" s="8"/>
      <c r="AH1255" s="8"/>
      <c r="BK1255" s="175"/>
    </row>
    <row r="1256" spans="6:63" x14ac:dyDescent="0.25">
      <c r="F1256" s="16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17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14"/>
      <c r="AE1256" s="8"/>
      <c r="AF1256" s="8"/>
      <c r="AG1256" s="8"/>
      <c r="AH1256" s="8"/>
      <c r="BK1256" s="175"/>
    </row>
    <row r="1257" spans="6:63" x14ac:dyDescent="0.25">
      <c r="F1257" s="16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17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14"/>
      <c r="AE1257" s="8"/>
      <c r="AF1257" s="8"/>
      <c r="AG1257" s="8"/>
      <c r="AH1257" s="8"/>
      <c r="BK1257" s="175"/>
    </row>
    <row r="1258" spans="6:63" x14ac:dyDescent="0.25">
      <c r="F1258" s="16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17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14"/>
      <c r="AE1258" s="8"/>
      <c r="AF1258" s="8"/>
      <c r="AG1258" s="8"/>
      <c r="AH1258" s="8"/>
      <c r="BK1258" s="175"/>
    </row>
    <row r="1259" spans="6:63" x14ac:dyDescent="0.25">
      <c r="F1259" s="16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17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14"/>
      <c r="AE1259" s="8"/>
      <c r="AF1259" s="8"/>
      <c r="AG1259" s="8"/>
      <c r="AH1259" s="8"/>
      <c r="BK1259" s="175"/>
    </row>
    <row r="1260" spans="6:63" x14ac:dyDescent="0.25">
      <c r="F1260" s="16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17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14"/>
      <c r="AE1260" s="8"/>
      <c r="AF1260" s="8"/>
      <c r="AG1260" s="8"/>
      <c r="AH1260" s="8"/>
      <c r="BK1260" s="175"/>
    </row>
    <row r="1261" spans="6:63" x14ac:dyDescent="0.25">
      <c r="F1261" s="16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17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14"/>
      <c r="AE1261" s="8"/>
      <c r="AF1261" s="8"/>
      <c r="AG1261" s="8"/>
      <c r="AH1261" s="8"/>
      <c r="BK1261" s="175"/>
    </row>
    <row r="1262" spans="6:63" x14ac:dyDescent="0.25">
      <c r="F1262" s="16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17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14"/>
      <c r="AE1262" s="8"/>
      <c r="AF1262" s="8"/>
      <c r="AG1262" s="8"/>
      <c r="AH1262" s="8"/>
      <c r="BK1262" s="175"/>
    </row>
    <row r="1263" spans="6:63" x14ac:dyDescent="0.25">
      <c r="F1263" s="16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17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14"/>
      <c r="AE1263" s="8"/>
      <c r="AF1263" s="8"/>
      <c r="AG1263" s="8"/>
      <c r="AH1263" s="8"/>
      <c r="BK1263" s="175"/>
    </row>
    <row r="1264" spans="6:63" x14ac:dyDescent="0.25">
      <c r="F1264" s="16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17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14"/>
      <c r="AE1264" s="8"/>
      <c r="AF1264" s="8"/>
      <c r="AG1264" s="8"/>
      <c r="AH1264" s="8"/>
      <c r="BK1264" s="175"/>
    </row>
    <row r="1265" spans="6:63" x14ac:dyDescent="0.25">
      <c r="F1265" s="16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17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14"/>
      <c r="AE1265" s="8"/>
      <c r="AF1265" s="8"/>
      <c r="AG1265" s="8"/>
      <c r="AH1265" s="8"/>
      <c r="BK1265" s="175"/>
    </row>
    <row r="1266" spans="6:63" x14ac:dyDescent="0.25">
      <c r="F1266" s="16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17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14"/>
      <c r="AE1266" s="8"/>
      <c r="AF1266" s="8"/>
      <c r="AG1266" s="8"/>
      <c r="AH1266" s="8"/>
      <c r="BK1266" s="175"/>
    </row>
    <row r="1267" spans="6:63" x14ac:dyDescent="0.25">
      <c r="F1267" s="16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17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14"/>
      <c r="AE1267" s="8"/>
      <c r="AF1267" s="8"/>
      <c r="AG1267" s="8"/>
      <c r="AH1267" s="8"/>
      <c r="BK1267" s="175"/>
    </row>
    <row r="1268" spans="6:63" x14ac:dyDescent="0.25">
      <c r="F1268" s="16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17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14"/>
      <c r="AE1268" s="8"/>
      <c r="AF1268" s="8"/>
      <c r="AG1268" s="8"/>
      <c r="AH1268" s="8"/>
      <c r="BK1268" s="175"/>
    </row>
    <row r="1269" spans="6:63" x14ac:dyDescent="0.25">
      <c r="F1269" s="16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17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14"/>
      <c r="AE1269" s="8"/>
      <c r="AF1269" s="8"/>
      <c r="AG1269" s="8"/>
      <c r="AH1269" s="8"/>
      <c r="BK1269" s="175"/>
    </row>
    <row r="1270" spans="6:63" x14ac:dyDescent="0.25">
      <c r="F1270" s="16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17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14"/>
      <c r="AE1270" s="8"/>
      <c r="AF1270" s="8"/>
      <c r="AG1270" s="8"/>
      <c r="AH1270" s="8"/>
      <c r="BK1270" s="175"/>
    </row>
    <row r="1271" spans="6:63" x14ac:dyDescent="0.25">
      <c r="F1271" s="16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17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14"/>
      <c r="AE1271" s="8"/>
      <c r="AF1271" s="8"/>
      <c r="AG1271" s="8"/>
      <c r="AH1271" s="8"/>
      <c r="BK1271" s="175"/>
    </row>
    <row r="1272" spans="6:63" x14ac:dyDescent="0.25">
      <c r="F1272" s="16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17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14"/>
      <c r="AE1272" s="8"/>
      <c r="AF1272" s="8"/>
      <c r="AG1272" s="8"/>
      <c r="AH1272" s="8"/>
      <c r="BK1272" s="175"/>
    </row>
    <row r="1273" spans="6:63" x14ac:dyDescent="0.25">
      <c r="F1273" s="16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17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14"/>
      <c r="AE1273" s="8"/>
      <c r="AF1273" s="8"/>
      <c r="AG1273" s="8"/>
      <c r="AH1273" s="8"/>
      <c r="BK1273" s="175"/>
    </row>
    <row r="1274" spans="6:63" x14ac:dyDescent="0.25">
      <c r="F1274" s="16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17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14"/>
      <c r="AE1274" s="8"/>
      <c r="AF1274" s="8"/>
      <c r="AG1274" s="8"/>
      <c r="AH1274" s="8"/>
      <c r="BK1274" s="175"/>
    </row>
    <row r="1275" spans="6:63" x14ac:dyDescent="0.25">
      <c r="F1275" s="16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17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14"/>
      <c r="AE1275" s="8"/>
      <c r="AF1275" s="8"/>
      <c r="AG1275" s="8"/>
      <c r="AH1275" s="8"/>
      <c r="BK1275" s="175"/>
    </row>
    <row r="1276" spans="6:63" x14ac:dyDescent="0.25">
      <c r="F1276" s="16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17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14"/>
      <c r="AE1276" s="8"/>
      <c r="AF1276" s="8"/>
      <c r="AG1276" s="8"/>
      <c r="AH1276" s="8"/>
      <c r="BK1276" s="175"/>
    </row>
    <row r="1277" spans="6:63" x14ac:dyDescent="0.25">
      <c r="F1277" s="16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17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14"/>
      <c r="AE1277" s="8"/>
      <c r="AF1277" s="8"/>
      <c r="AG1277" s="8"/>
      <c r="AH1277" s="8"/>
      <c r="BK1277" s="175"/>
    </row>
    <row r="1278" spans="6:63" x14ac:dyDescent="0.25">
      <c r="F1278" s="16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17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14"/>
      <c r="AE1278" s="8"/>
      <c r="AF1278" s="8"/>
      <c r="AG1278" s="8"/>
      <c r="AH1278" s="8"/>
      <c r="BK1278" s="175"/>
    </row>
    <row r="1279" spans="6:63" x14ac:dyDescent="0.25">
      <c r="F1279" s="16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17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14"/>
      <c r="AE1279" s="8"/>
      <c r="AF1279" s="8"/>
      <c r="AG1279" s="8"/>
      <c r="AH1279" s="8"/>
      <c r="BK1279" s="175"/>
    </row>
    <row r="1280" spans="6:63" x14ac:dyDescent="0.25">
      <c r="F1280" s="16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17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14"/>
      <c r="AE1280" s="8"/>
      <c r="AF1280" s="8"/>
      <c r="AG1280" s="8"/>
      <c r="AH1280" s="8"/>
      <c r="BK1280" s="175"/>
    </row>
    <row r="1281" spans="6:63" x14ac:dyDescent="0.25">
      <c r="F1281" s="16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17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14"/>
      <c r="AE1281" s="8"/>
      <c r="AF1281" s="8"/>
      <c r="AG1281" s="8"/>
      <c r="AH1281" s="8"/>
      <c r="BK1281" s="175"/>
    </row>
    <row r="1282" spans="6:63" x14ac:dyDescent="0.25">
      <c r="F1282" s="16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17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14"/>
      <c r="AE1282" s="8"/>
      <c r="AF1282" s="8"/>
      <c r="AG1282" s="8"/>
      <c r="AH1282" s="8"/>
      <c r="BK1282" s="175"/>
    </row>
    <row r="1283" spans="6:63" x14ac:dyDescent="0.25">
      <c r="F1283" s="16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17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14"/>
      <c r="AE1283" s="8"/>
      <c r="AF1283" s="8"/>
      <c r="AG1283" s="8"/>
      <c r="AH1283" s="8"/>
      <c r="BK1283" s="175"/>
    </row>
    <row r="1284" spans="6:63" x14ac:dyDescent="0.25">
      <c r="F1284" s="16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17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14"/>
      <c r="AE1284" s="8"/>
      <c r="AF1284" s="8"/>
      <c r="AG1284" s="8"/>
      <c r="AH1284" s="8"/>
      <c r="BK1284" s="175"/>
    </row>
    <row r="1285" spans="6:63" x14ac:dyDescent="0.25">
      <c r="F1285" s="16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17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14"/>
      <c r="AE1285" s="8"/>
      <c r="AF1285" s="8"/>
      <c r="AG1285" s="8"/>
      <c r="AH1285" s="8"/>
      <c r="BK1285" s="175"/>
    </row>
    <row r="1286" spans="6:63" x14ac:dyDescent="0.25">
      <c r="F1286" s="16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17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14"/>
      <c r="AE1286" s="8"/>
      <c r="AF1286" s="8"/>
      <c r="AG1286" s="8"/>
      <c r="AH1286" s="8"/>
      <c r="BK1286" s="175"/>
    </row>
    <row r="1287" spans="6:63" x14ac:dyDescent="0.25">
      <c r="F1287" s="16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17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14"/>
      <c r="AE1287" s="8"/>
      <c r="AF1287" s="8"/>
      <c r="AG1287" s="8"/>
      <c r="AH1287" s="8"/>
      <c r="BK1287" s="175"/>
    </row>
    <row r="1288" spans="6:63" x14ac:dyDescent="0.25">
      <c r="F1288" s="16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17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14"/>
      <c r="AE1288" s="8"/>
      <c r="AF1288" s="8"/>
      <c r="AG1288" s="8"/>
      <c r="AH1288" s="8"/>
      <c r="BK1288" s="175"/>
    </row>
    <row r="1289" spans="6:63" x14ac:dyDescent="0.25">
      <c r="F1289" s="16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17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14"/>
      <c r="AE1289" s="8"/>
      <c r="AF1289" s="8"/>
      <c r="AG1289" s="8"/>
      <c r="AH1289" s="8"/>
      <c r="BK1289" s="175"/>
    </row>
    <row r="1290" spans="6:63" x14ac:dyDescent="0.25">
      <c r="F1290" s="16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17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14"/>
      <c r="AE1290" s="8"/>
      <c r="AF1290" s="8"/>
      <c r="AG1290" s="8"/>
      <c r="AH1290" s="8"/>
      <c r="BK1290" s="175"/>
    </row>
    <row r="1291" spans="6:63" x14ac:dyDescent="0.25">
      <c r="F1291" s="16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17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14"/>
      <c r="AE1291" s="8"/>
      <c r="AF1291" s="8"/>
      <c r="AG1291" s="8"/>
      <c r="AH1291" s="8"/>
      <c r="BK1291" s="175"/>
    </row>
    <row r="1292" spans="6:63" x14ac:dyDescent="0.25">
      <c r="F1292" s="16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17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14"/>
      <c r="AE1292" s="8"/>
      <c r="AF1292" s="8"/>
      <c r="AG1292" s="8"/>
      <c r="AH1292" s="8"/>
      <c r="BK1292" s="175"/>
    </row>
    <row r="1293" spans="6:63" x14ac:dyDescent="0.25">
      <c r="F1293" s="16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17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14"/>
      <c r="AE1293" s="8"/>
      <c r="AF1293" s="8"/>
      <c r="AG1293" s="8"/>
      <c r="AH1293" s="8"/>
      <c r="BK1293" s="175"/>
    </row>
    <row r="1294" spans="6:63" x14ac:dyDescent="0.25">
      <c r="F1294" s="16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17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14"/>
      <c r="AE1294" s="8"/>
      <c r="AF1294" s="8"/>
      <c r="AG1294" s="8"/>
      <c r="AH1294" s="8"/>
      <c r="BK1294" s="175"/>
    </row>
    <row r="1295" spans="6:63" x14ac:dyDescent="0.25">
      <c r="F1295" s="16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17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14"/>
      <c r="AE1295" s="8"/>
      <c r="AF1295" s="8"/>
      <c r="AG1295" s="8"/>
      <c r="AH1295" s="8"/>
      <c r="BK1295" s="175"/>
    </row>
    <row r="1296" spans="6:63" x14ac:dyDescent="0.25">
      <c r="F1296" s="16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17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14"/>
      <c r="AE1296" s="8"/>
      <c r="AF1296" s="8"/>
      <c r="AG1296" s="8"/>
      <c r="AH1296" s="8"/>
      <c r="BK1296" s="175"/>
    </row>
    <row r="1297" spans="6:63" x14ac:dyDescent="0.25">
      <c r="F1297" s="16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17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14"/>
      <c r="AE1297" s="8"/>
      <c r="AF1297" s="8"/>
      <c r="AG1297" s="8"/>
      <c r="AH1297" s="8"/>
      <c r="BK1297" s="175"/>
    </row>
    <row r="1298" spans="6:63" x14ac:dyDescent="0.25">
      <c r="F1298" s="16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17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14"/>
      <c r="AE1298" s="8"/>
      <c r="AF1298" s="8"/>
      <c r="AG1298" s="8"/>
      <c r="AH1298" s="8"/>
      <c r="BK1298" s="175"/>
    </row>
    <row r="1299" spans="6:63" x14ac:dyDescent="0.25">
      <c r="F1299" s="16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17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14"/>
      <c r="AE1299" s="8"/>
      <c r="AF1299" s="8"/>
      <c r="AG1299" s="8"/>
      <c r="AH1299" s="8"/>
      <c r="BK1299" s="175"/>
    </row>
    <row r="1300" spans="6:63" x14ac:dyDescent="0.25">
      <c r="F1300" s="16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17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14"/>
      <c r="AE1300" s="8"/>
      <c r="AF1300" s="8"/>
      <c r="AG1300" s="8"/>
      <c r="AH1300" s="8"/>
      <c r="BK1300" s="175"/>
    </row>
    <row r="1301" spans="6:63" x14ac:dyDescent="0.25">
      <c r="F1301" s="16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17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14"/>
      <c r="AE1301" s="8"/>
      <c r="AF1301" s="8"/>
      <c r="AG1301" s="8"/>
      <c r="AH1301" s="8"/>
      <c r="BK1301" s="175"/>
    </row>
    <row r="1302" spans="6:63" x14ac:dyDescent="0.25">
      <c r="F1302" s="16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17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14"/>
      <c r="AE1302" s="8"/>
      <c r="AF1302" s="8"/>
      <c r="AG1302" s="8"/>
      <c r="AH1302" s="8"/>
      <c r="BK1302" s="175"/>
    </row>
    <row r="1303" spans="6:63" x14ac:dyDescent="0.25">
      <c r="F1303" s="16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17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14"/>
      <c r="AE1303" s="8"/>
      <c r="AF1303" s="8"/>
      <c r="AG1303" s="8"/>
      <c r="AH1303" s="8"/>
      <c r="BK1303" s="175"/>
    </row>
    <row r="1304" spans="6:63" x14ac:dyDescent="0.25">
      <c r="F1304" s="16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17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14"/>
      <c r="AE1304" s="8"/>
      <c r="AF1304" s="8"/>
      <c r="AG1304" s="8"/>
      <c r="AH1304" s="8"/>
      <c r="BK1304" s="175"/>
    </row>
    <row r="1305" spans="6:63" x14ac:dyDescent="0.25">
      <c r="F1305" s="16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17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14"/>
      <c r="AE1305" s="8"/>
      <c r="AF1305" s="8"/>
      <c r="AG1305" s="8"/>
      <c r="AH1305" s="8"/>
      <c r="BK1305" s="175"/>
    </row>
    <row r="1306" spans="6:63" x14ac:dyDescent="0.25">
      <c r="F1306" s="16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17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14"/>
      <c r="AE1306" s="8"/>
      <c r="AF1306" s="8"/>
      <c r="AG1306" s="8"/>
      <c r="AH1306" s="8"/>
      <c r="BK1306" s="175"/>
    </row>
    <row r="1307" spans="6:63" x14ac:dyDescent="0.25">
      <c r="F1307" s="16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17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14"/>
      <c r="AE1307" s="8"/>
      <c r="AF1307" s="8"/>
      <c r="AG1307" s="8"/>
      <c r="AH1307" s="8"/>
      <c r="BK1307" s="175"/>
    </row>
    <row r="1308" spans="6:63" x14ac:dyDescent="0.25">
      <c r="F1308" s="16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17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14"/>
      <c r="AE1308" s="8"/>
      <c r="AF1308" s="8"/>
      <c r="AG1308" s="8"/>
      <c r="AH1308" s="8"/>
      <c r="BK1308" s="175"/>
    </row>
    <row r="1309" spans="6:63" x14ac:dyDescent="0.25">
      <c r="F1309" s="16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17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14"/>
      <c r="AE1309" s="8"/>
      <c r="AF1309" s="8"/>
      <c r="AG1309" s="8"/>
      <c r="AH1309" s="8"/>
      <c r="BK1309" s="175"/>
    </row>
    <row r="1310" spans="6:63" x14ac:dyDescent="0.25">
      <c r="F1310" s="16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17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14"/>
      <c r="AE1310" s="8"/>
      <c r="AF1310" s="8"/>
      <c r="AG1310" s="8"/>
      <c r="AH1310" s="8"/>
      <c r="BK1310" s="175"/>
    </row>
    <row r="1311" spans="6:63" x14ac:dyDescent="0.25">
      <c r="F1311" s="16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17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14"/>
      <c r="AE1311" s="8"/>
      <c r="AF1311" s="8"/>
      <c r="AG1311" s="8"/>
      <c r="AH1311" s="8"/>
      <c r="BK1311" s="175"/>
    </row>
    <row r="1312" spans="6:63" x14ac:dyDescent="0.25">
      <c r="F1312" s="16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17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14"/>
      <c r="AE1312" s="8"/>
      <c r="AF1312" s="8"/>
      <c r="AG1312" s="8"/>
      <c r="AH1312" s="8"/>
      <c r="BK1312" s="175"/>
    </row>
    <row r="1313" spans="6:63" x14ac:dyDescent="0.25">
      <c r="F1313" s="16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17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14"/>
      <c r="AE1313" s="8"/>
      <c r="AF1313" s="8"/>
      <c r="AG1313" s="8"/>
      <c r="AH1313" s="8"/>
      <c r="BK1313" s="175"/>
    </row>
    <row r="1314" spans="6:63" x14ac:dyDescent="0.25">
      <c r="F1314" s="16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17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14"/>
      <c r="AE1314" s="8"/>
      <c r="AF1314" s="8"/>
      <c r="AG1314" s="8"/>
      <c r="AH1314" s="8"/>
      <c r="BK1314" s="175"/>
    </row>
    <row r="1315" spans="6:63" x14ac:dyDescent="0.25">
      <c r="F1315" s="16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17"/>
      <c r="T1315" s="8"/>
      <c r="U1315" s="8"/>
      <c r="V1315" s="8"/>
      <c r="W1315" s="8"/>
      <c r="X1315" s="8"/>
      <c r="Y1315" s="8"/>
      <c r="Z1315" s="8"/>
      <c r="AA1315" s="8"/>
      <c r="AB1315" s="8"/>
      <c r="AC1315" s="8"/>
      <c r="AD1315" s="14"/>
      <c r="AE1315" s="8"/>
      <c r="AF1315" s="8"/>
      <c r="AG1315" s="8"/>
      <c r="AH1315" s="8"/>
      <c r="BK1315" s="175"/>
    </row>
    <row r="1316" spans="6:63" x14ac:dyDescent="0.25">
      <c r="F1316" s="16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17"/>
      <c r="T1316" s="8"/>
      <c r="U1316" s="8"/>
      <c r="V1316" s="8"/>
      <c r="W1316" s="8"/>
      <c r="X1316" s="8"/>
      <c r="Y1316" s="8"/>
      <c r="Z1316" s="8"/>
      <c r="AA1316" s="8"/>
      <c r="AB1316" s="8"/>
      <c r="AC1316" s="8"/>
      <c r="AD1316" s="14"/>
      <c r="AE1316" s="8"/>
      <c r="AF1316" s="8"/>
      <c r="AG1316" s="8"/>
      <c r="AH1316" s="8"/>
      <c r="BK1316" s="175"/>
    </row>
    <row r="1317" spans="6:63" x14ac:dyDescent="0.25">
      <c r="F1317" s="16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17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  <c r="AD1317" s="14"/>
      <c r="AE1317" s="8"/>
      <c r="AF1317" s="8"/>
      <c r="AG1317" s="8"/>
      <c r="AH1317" s="8"/>
      <c r="BK1317" s="175"/>
    </row>
    <row r="1318" spans="6:63" x14ac:dyDescent="0.25">
      <c r="F1318" s="16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17"/>
      <c r="T1318" s="8"/>
      <c r="U1318" s="8"/>
      <c r="V1318" s="8"/>
      <c r="W1318" s="8"/>
      <c r="X1318" s="8"/>
      <c r="Y1318" s="8"/>
      <c r="Z1318" s="8"/>
      <c r="AA1318" s="8"/>
      <c r="AB1318" s="8"/>
      <c r="AC1318" s="8"/>
      <c r="AD1318" s="14"/>
      <c r="AE1318" s="8"/>
      <c r="AF1318" s="8"/>
      <c r="AG1318" s="8"/>
      <c r="AH1318" s="8"/>
      <c r="BK1318" s="175"/>
    </row>
    <row r="1319" spans="6:63" x14ac:dyDescent="0.25">
      <c r="F1319" s="16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17"/>
      <c r="T1319" s="8"/>
      <c r="U1319" s="8"/>
      <c r="V1319" s="8"/>
      <c r="W1319" s="8"/>
      <c r="X1319" s="8"/>
      <c r="Y1319" s="8"/>
      <c r="Z1319" s="8"/>
      <c r="AA1319" s="8"/>
      <c r="AB1319" s="8"/>
      <c r="AC1319" s="8"/>
      <c r="AD1319" s="14"/>
      <c r="AE1319" s="8"/>
      <c r="AF1319" s="8"/>
      <c r="AG1319" s="8"/>
      <c r="AH1319" s="8"/>
      <c r="BK1319" s="175"/>
    </row>
    <row r="1320" spans="6:63" x14ac:dyDescent="0.25">
      <c r="F1320" s="16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17"/>
      <c r="T1320" s="8"/>
      <c r="U1320" s="8"/>
      <c r="V1320" s="8"/>
      <c r="W1320" s="8"/>
      <c r="X1320" s="8"/>
      <c r="Y1320" s="8"/>
      <c r="Z1320" s="8"/>
      <c r="AA1320" s="8"/>
      <c r="AB1320" s="8"/>
      <c r="AC1320" s="8"/>
      <c r="AD1320" s="14"/>
      <c r="AE1320" s="8"/>
      <c r="AF1320" s="8"/>
      <c r="AG1320" s="8"/>
      <c r="AH1320" s="8"/>
      <c r="BK1320" s="175"/>
    </row>
    <row r="1321" spans="6:63" x14ac:dyDescent="0.25">
      <c r="F1321" s="16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17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14"/>
      <c r="AE1321" s="8"/>
      <c r="AF1321" s="8"/>
      <c r="AG1321" s="8"/>
      <c r="AH1321" s="8"/>
      <c r="BK1321" s="175"/>
    </row>
    <row r="1322" spans="6:63" x14ac:dyDescent="0.25">
      <c r="F1322" s="16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17"/>
      <c r="T1322" s="8"/>
      <c r="U1322" s="8"/>
      <c r="V1322" s="8"/>
      <c r="W1322" s="8"/>
      <c r="X1322" s="8"/>
      <c r="Y1322" s="8"/>
      <c r="Z1322" s="8"/>
      <c r="AA1322" s="8"/>
      <c r="AB1322" s="8"/>
      <c r="AC1322" s="8"/>
      <c r="AD1322" s="14"/>
      <c r="AE1322" s="8"/>
      <c r="AF1322" s="8"/>
      <c r="AG1322" s="8"/>
      <c r="AH1322" s="8"/>
      <c r="BK1322" s="175"/>
    </row>
    <row r="1323" spans="6:63" x14ac:dyDescent="0.25">
      <c r="F1323" s="16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17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14"/>
      <c r="AE1323" s="8"/>
      <c r="AF1323" s="8"/>
      <c r="AG1323" s="8"/>
      <c r="AH1323" s="8"/>
      <c r="BK1323" s="175"/>
    </row>
    <row r="1324" spans="6:63" x14ac:dyDescent="0.25">
      <c r="F1324" s="16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17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  <c r="AD1324" s="14"/>
      <c r="AE1324" s="8"/>
      <c r="AF1324" s="8"/>
      <c r="AG1324" s="8"/>
      <c r="AH1324" s="8"/>
      <c r="BK1324" s="175"/>
    </row>
    <row r="1325" spans="6:63" x14ac:dyDescent="0.25">
      <c r="F1325" s="16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17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  <c r="AD1325" s="14"/>
      <c r="AE1325" s="8"/>
      <c r="AF1325" s="8"/>
      <c r="AG1325" s="8"/>
      <c r="AH1325" s="8"/>
      <c r="BK1325" s="175"/>
    </row>
    <row r="1326" spans="6:63" x14ac:dyDescent="0.25">
      <c r="F1326" s="16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17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14"/>
      <c r="AE1326" s="8"/>
      <c r="AF1326" s="8"/>
      <c r="AG1326" s="8"/>
      <c r="AH1326" s="8"/>
      <c r="BK1326" s="175"/>
    </row>
    <row r="1327" spans="6:63" x14ac:dyDescent="0.25">
      <c r="F1327" s="16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17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14"/>
      <c r="AE1327" s="8"/>
      <c r="AF1327" s="8"/>
      <c r="AG1327" s="8"/>
      <c r="AH1327" s="8"/>
      <c r="BK1327" s="175"/>
    </row>
    <row r="1328" spans="6:63" x14ac:dyDescent="0.25">
      <c r="F1328" s="16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17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  <c r="AD1328" s="14"/>
      <c r="AE1328" s="8"/>
      <c r="AF1328" s="8"/>
      <c r="AG1328" s="8"/>
      <c r="AH1328" s="8"/>
      <c r="BK1328" s="175"/>
    </row>
    <row r="1329" spans="6:63" x14ac:dyDescent="0.25">
      <c r="F1329" s="16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17"/>
      <c r="T1329" s="8"/>
      <c r="U1329" s="8"/>
      <c r="V1329" s="8"/>
      <c r="W1329" s="8"/>
      <c r="X1329" s="8"/>
      <c r="Y1329" s="8"/>
      <c r="Z1329" s="8"/>
      <c r="AA1329" s="8"/>
      <c r="AB1329" s="8"/>
      <c r="AC1329" s="8"/>
      <c r="AD1329" s="14"/>
      <c r="AE1329" s="8"/>
      <c r="AF1329" s="8"/>
      <c r="AG1329" s="8"/>
      <c r="AH1329" s="8"/>
      <c r="BK1329" s="175"/>
    </row>
    <row r="1330" spans="6:63" x14ac:dyDescent="0.25">
      <c r="F1330" s="16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17"/>
      <c r="T1330" s="8"/>
      <c r="U1330" s="8"/>
      <c r="V1330" s="8"/>
      <c r="W1330" s="8"/>
      <c r="X1330" s="8"/>
      <c r="Y1330" s="8"/>
      <c r="Z1330" s="8"/>
      <c r="AA1330" s="8"/>
      <c r="AB1330" s="8"/>
      <c r="AC1330" s="8"/>
      <c r="AD1330" s="14"/>
      <c r="AE1330" s="8"/>
      <c r="AF1330" s="8"/>
      <c r="AG1330" s="8"/>
      <c r="AH1330" s="8"/>
      <c r="BK1330" s="175"/>
    </row>
    <row r="1331" spans="6:63" x14ac:dyDescent="0.25">
      <c r="F1331" s="16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17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14"/>
      <c r="AE1331" s="8"/>
      <c r="AF1331" s="8"/>
      <c r="AG1331" s="8"/>
      <c r="AH1331" s="8"/>
      <c r="BK1331" s="175"/>
    </row>
    <row r="1332" spans="6:63" x14ac:dyDescent="0.25">
      <c r="F1332" s="16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17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14"/>
      <c r="AE1332" s="8"/>
      <c r="AF1332" s="8"/>
      <c r="AG1332" s="8"/>
      <c r="AH1332" s="8"/>
      <c r="BK1332" s="175"/>
    </row>
    <row r="1333" spans="6:63" x14ac:dyDescent="0.25">
      <c r="F1333" s="16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17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14"/>
      <c r="AE1333" s="8"/>
      <c r="AF1333" s="8"/>
      <c r="AG1333" s="8"/>
      <c r="AH1333" s="8"/>
      <c r="BK1333" s="175"/>
    </row>
    <row r="1334" spans="6:63" x14ac:dyDescent="0.25">
      <c r="F1334" s="16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17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  <c r="AD1334" s="14"/>
      <c r="AE1334" s="8"/>
      <c r="AF1334" s="8"/>
      <c r="AG1334" s="8"/>
      <c r="AH1334" s="8"/>
      <c r="BK1334" s="175"/>
    </row>
    <row r="1335" spans="6:63" x14ac:dyDescent="0.25">
      <c r="F1335" s="16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17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14"/>
      <c r="AE1335" s="8"/>
      <c r="AF1335" s="8"/>
      <c r="AG1335" s="8"/>
      <c r="AH1335" s="8"/>
      <c r="BK1335" s="175"/>
    </row>
    <row r="1336" spans="6:63" x14ac:dyDescent="0.25">
      <c r="F1336" s="16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17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14"/>
      <c r="AE1336" s="8"/>
      <c r="AF1336" s="8"/>
      <c r="AG1336" s="8"/>
      <c r="AH1336" s="8"/>
      <c r="BK1336" s="175"/>
    </row>
    <row r="1337" spans="6:63" x14ac:dyDescent="0.25">
      <c r="F1337" s="16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17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14"/>
      <c r="AE1337" s="8"/>
      <c r="AF1337" s="8"/>
      <c r="AG1337" s="8"/>
      <c r="AH1337" s="8"/>
      <c r="BK1337" s="175"/>
    </row>
    <row r="1338" spans="6:63" x14ac:dyDescent="0.25">
      <c r="F1338" s="16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17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14"/>
      <c r="AE1338" s="8"/>
      <c r="AF1338" s="8"/>
      <c r="AG1338" s="8"/>
      <c r="AH1338" s="8"/>
      <c r="BK1338" s="175"/>
    </row>
    <row r="1339" spans="6:63" x14ac:dyDescent="0.25">
      <c r="F1339" s="16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17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14"/>
      <c r="AE1339" s="8"/>
      <c r="AF1339" s="8"/>
      <c r="AG1339" s="8"/>
      <c r="AH1339" s="8"/>
      <c r="BK1339" s="175"/>
    </row>
    <row r="1340" spans="6:63" x14ac:dyDescent="0.25">
      <c r="F1340" s="16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17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14"/>
      <c r="AE1340" s="8"/>
      <c r="AF1340" s="8"/>
      <c r="AG1340" s="8"/>
      <c r="AH1340" s="8"/>
      <c r="BK1340" s="175"/>
    </row>
    <row r="1341" spans="6:63" x14ac:dyDescent="0.25">
      <c r="F1341" s="16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17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14"/>
      <c r="AE1341" s="8"/>
      <c r="AF1341" s="8"/>
      <c r="AG1341" s="8"/>
      <c r="AH1341" s="8"/>
      <c r="BK1341" s="175"/>
    </row>
    <row r="1342" spans="6:63" x14ac:dyDescent="0.25">
      <c r="F1342" s="16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17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14"/>
      <c r="AE1342" s="8"/>
      <c r="AF1342" s="8"/>
      <c r="AG1342" s="8"/>
      <c r="AH1342" s="8"/>
      <c r="BK1342" s="175"/>
    </row>
    <row r="1343" spans="6:63" x14ac:dyDescent="0.25">
      <c r="F1343" s="16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17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14"/>
      <c r="AE1343" s="8"/>
      <c r="AF1343" s="8"/>
      <c r="AG1343" s="8"/>
      <c r="AH1343" s="8"/>
      <c r="BK1343" s="175"/>
    </row>
    <row r="1344" spans="6:63" x14ac:dyDescent="0.25">
      <c r="F1344" s="16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17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14"/>
      <c r="AE1344" s="8"/>
      <c r="AF1344" s="8"/>
      <c r="AG1344" s="8"/>
      <c r="AH1344" s="8"/>
      <c r="BK1344" s="175"/>
    </row>
    <row r="1345" spans="6:63" x14ac:dyDescent="0.25">
      <c r="F1345" s="16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17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14"/>
      <c r="AE1345" s="8"/>
      <c r="AF1345" s="8"/>
      <c r="AG1345" s="8"/>
      <c r="AH1345" s="8"/>
      <c r="BK1345" s="175"/>
    </row>
    <row r="1346" spans="6:63" x14ac:dyDescent="0.25">
      <c r="F1346" s="16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17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14"/>
      <c r="AE1346" s="8"/>
      <c r="AF1346" s="8"/>
      <c r="AG1346" s="8"/>
      <c r="AH1346" s="8"/>
      <c r="BK1346" s="175"/>
    </row>
    <row r="1347" spans="6:63" x14ac:dyDescent="0.25">
      <c r="F1347" s="16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17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14"/>
      <c r="AE1347" s="8"/>
      <c r="AF1347" s="8"/>
      <c r="AG1347" s="8"/>
      <c r="AH1347" s="8"/>
      <c r="BK1347" s="175"/>
    </row>
    <row r="1348" spans="6:63" x14ac:dyDescent="0.25">
      <c r="F1348" s="16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17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14"/>
      <c r="AE1348" s="8"/>
      <c r="AF1348" s="8"/>
      <c r="AG1348" s="8"/>
      <c r="AH1348" s="8"/>
      <c r="BK1348" s="175"/>
    </row>
    <row r="1349" spans="6:63" x14ac:dyDescent="0.25">
      <c r="F1349" s="16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17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14"/>
      <c r="AE1349" s="8"/>
      <c r="AF1349" s="8"/>
      <c r="AG1349" s="8"/>
      <c r="AH1349" s="8"/>
      <c r="BK1349" s="175"/>
    </row>
    <row r="1350" spans="6:63" x14ac:dyDescent="0.25">
      <c r="F1350" s="16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17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14"/>
      <c r="AE1350" s="8"/>
      <c r="AF1350" s="8"/>
      <c r="AG1350" s="8"/>
      <c r="AH1350" s="8"/>
      <c r="BK1350" s="175"/>
    </row>
    <row r="1351" spans="6:63" x14ac:dyDescent="0.25">
      <c r="F1351" s="16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17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  <c r="AD1351" s="14"/>
      <c r="AE1351" s="8"/>
      <c r="AF1351" s="8"/>
      <c r="AG1351" s="8"/>
      <c r="AH1351" s="8"/>
      <c r="BK1351" s="175"/>
    </row>
    <row r="1352" spans="6:63" x14ac:dyDescent="0.25">
      <c r="F1352" s="16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17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14"/>
      <c r="AE1352" s="8"/>
      <c r="AF1352" s="8"/>
      <c r="AG1352" s="8"/>
      <c r="AH1352" s="8"/>
      <c r="BK1352" s="175"/>
    </row>
    <row r="1353" spans="6:63" x14ac:dyDescent="0.25">
      <c r="F1353" s="16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17"/>
      <c r="T1353" s="8"/>
      <c r="U1353" s="8"/>
      <c r="V1353" s="8"/>
      <c r="W1353" s="8"/>
      <c r="X1353" s="8"/>
      <c r="Y1353" s="8"/>
      <c r="Z1353" s="8"/>
      <c r="AA1353" s="8"/>
      <c r="AB1353" s="8"/>
      <c r="AC1353" s="8"/>
      <c r="AD1353" s="14"/>
      <c r="AE1353" s="8"/>
      <c r="AF1353" s="8"/>
      <c r="AG1353" s="8"/>
      <c r="AH1353" s="8"/>
      <c r="BK1353" s="175"/>
    </row>
    <row r="1354" spans="6:63" x14ac:dyDescent="0.25">
      <c r="F1354" s="16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17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  <c r="AD1354" s="14"/>
      <c r="AE1354" s="8"/>
      <c r="AF1354" s="8"/>
      <c r="AG1354" s="8"/>
      <c r="AH1354" s="8"/>
      <c r="BK1354" s="175"/>
    </row>
    <row r="1355" spans="6:63" x14ac:dyDescent="0.25">
      <c r="F1355" s="16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17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14"/>
      <c r="AE1355" s="8"/>
      <c r="AF1355" s="8"/>
      <c r="AG1355" s="8"/>
      <c r="AH1355" s="8"/>
      <c r="BK1355" s="175"/>
    </row>
    <row r="1356" spans="6:63" x14ac:dyDescent="0.25">
      <c r="F1356" s="16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17"/>
      <c r="T1356" s="8"/>
      <c r="U1356" s="8"/>
      <c r="V1356" s="8"/>
      <c r="W1356" s="8"/>
      <c r="X1356" s="8"/>
      <c r="Y1356" s="8"/>
      <c r="Z1356" s="8"/>
      <c r="AA1356" s="8"/>
      <c r="AB1356" s="8"/>
      <c r="AC1356" s="8"/>
      <c r="AD1356" s="14"/>
      <c r="AE1356" s="8"/>
      <c r="AF1356" s="8"/>
      <c r="AG1356" s="8"/>
      <c r="AH1356" s="8"/>
      <c r="BK1356" s="175"/>
    </row>
    <row r="1357" spans="6:63" x14ac:dyDescent="0.25">
      <c r="F1357" s="16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17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14"/>
      <c r="AE1357" s="8"/>
      <c r="AF1357" s="8"/>
      <c r="AG1357" s="8"/>
      <c r="AH1357" s="8"/>
      <c r="BK1357" s="175"/>
    </row>
    <row r="1358" spans="6:63" x14ac:dyDescent="0.25">
      <c r="F1358" s="16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17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14"/>
      <c r="AE1358" s="8"/>
      <c r="AF1358" s="8"/>
      <c r="AG1358" s="8"/>
      <c r="AH1358" s="8"/>
      <c r="BK1358" s="175"/>
    </row>
    <row r="1359" spans="6:63" x14ac:dyDescent="0.25">
      <c r="F1359" s="16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17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14"/>
      <c r="AE1359" s="8"/>
      <c r="AF1359" s="8"/>
      <c r="AG1359" s="8"/>
      <c r="AH1359" s="8"/>
      <c r="BK1359" s="175"/>
    </row>
    <row r="1360" spans="6:63" x14ac:dyDescent="0.25">
      <c r="F1360" s="16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17"/>
      <c r="T1360" s="8"/>
      <c r="U1360" s="8"/>
      <c r="V1360" s="8"/>
      <c r="W1360" s="8"/>
      <c r="X1360" s="8"/>
      <c r="Y1360" s="8"/>
      <c r="Z1360" s="8"/>
      <c r="AA1360" s="8"/>
      <c r="AB1360" s="8"/>
      <c r="AC1360" s="8"/>
      <c r="AD1360" s="14"/>
      <c r="AE1360" s="8"/>
      <c r="AF1360" s="8"/>
      <c r="AG1360" s="8"/>
      <c r="AH1360" s="8"/>
      <c r="BK1360" s="175"/>
    </row>
    <row r="1361" spans="6:63" x14ac:dyDescent="0.25">
      <c r="F1361" s="16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17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14"/>
      <c r="AE1361" s="8"/>
      <c r="AF1361" s="8"/>
      <c r="AG1361" s="8"/>
      <c r="AH1361" s="8"/>
      <c r="BK1361" s="175"/>
    </row>
    <row r="1362" spans="6:63" x14ac:dyDescent="0.25">
      <c r="F1362" s="16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17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14"/>
      <c r="AE1362" s="8"/>
      <c r="AF1362" s="8"/>
      <c r="AG1362" s="8"/>
      <c r="AH1362" s="8"/>
      <c r="BK1362" s="175"/>
    </row>
    <row r="1363" spans="6:63" x14ac:dyDescent="0.25">
      <c r="F1363" s="16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17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14"/>
      <c r="AE1363" s="8"/>
      <c r="AF1363" s="8"/>
      <c r="AG1363" s="8"/>
      <c r="AH1363" s="8"/>
      <c r="BK1363" s="175"/>
    </row>
    <row r="1364" spans="6:63" x14ac:dyDescent="0.25">
      <c r="F1364" s="16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17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14"/>
      <c r="AE1364" s="8"/>
      <c r="AF1364" s="8"/>
      <c r="AG1364" s="8"/>
      <c r="AH1364" s="8"/>
      <c r="BK1364" s="175"/>
    </row>
    <row r="1365" spans="6:63" x14ac:dyDescent="0.25">
      <c r="F1365" s="16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17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14"/>
      <c r="AE1365" s="8"/>
      <c r="AF1365" s="8"/>
      <c r="AG1365" s="8"/>
      <c r="AH1365" s="8"/>
      <c r="BK1365" s="175"/>
    </row>
    <row r="1366" spans="6:63" x14ac:dyDescent="0.25">
      <c r="F1366" s="16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17"/>
      <c r="T1366" s="8"/>
      <c r="U1366" s="8"/>
      <c r="V1366" s="8"/>
      <c r="W1366" s="8"/>
      <c r="X1366" s="8"/>
      <c r="Y1366" s="8"/>
      <c r="Z1366" s="8"/>
      <c r="AA1366" s="8"/>
      <c r="AB1366" s="8"/>
      <c r="AC1366" s="8"/>
      <c r="AD1366" s="14"/>
      <c r="AE1366" s="8"/>
      <c r="AF1366" s="8"/>
      <c r="AG1366" s="8"/>
      <c r="AH1366" s="8"/>
      <c r="BK1366" s="175"/>
    </row>
    <row r="1367" spans="6:63" x14ac:dyDescent="0.25">
      <c r="F1367" s="16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17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14"/>
      <c r="AE1367" s="8"/>
      <c r="AF1367" s="8"/>
      <c r="AG1367" s="8"/>
      <c r="AH1367" s="8"/>
      <c r="BK1367" s="175"/>
    </row>
    <row r="1368" spans="6:63" x14ac:dyDescent="0.25">
      <c r="F1368" s="16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17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14"/>
      <c r="AE1368" s="8"/>
      <c r="AF1368" s="8"/>
      <c r="AG1368" s="8"/>
      <c r="AH1368" s="8"/>
      <c r="BK1368" s="175"/>
    </row>
    <row r="1369" spans="6:63" x14ac:dyDescent="0.25">
      <c r="F1369" s="16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17"/>
      <c r="T1369" s="8"/>
      <c r="U1369" s="8"/>
      <c r="V1369" s="8"/>
      <c r="W1369" s="8"/>
      <c r="X1369" s="8"/>
      <c r="Y1369" s="8"/>
      <c r="Z1369" s="8"/>
      <c r="AA1369" s="8"/>
      <c r="AB1369" s="8"/>
      <c r="AC1369" s="8"/>
      <c r="AD1369" s="14"/>
      <c r="AE1369" s="8"/>
      <c r="AF1369" s="8"/>
      <c r="AG1369" s="8"/>
      <c r="AH1369" s="8"/>
      <c r="BK1369" s="175"/>
    </row>
    <row r="1370" spans="6:63" x14ac:dyDescent="0.25">
      <c r="F1370" s="16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17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14"/>
      <c r="AE1370" s="8"/>
      <c r="AF1370" s="8"/>
      <c r="AG1370" s="8"/>
      <c r="AH1370" s="8"/>
      <c r="BK1370" s="175"/>
    </row>
    <row r="1371" spans="6:63" x14ac:dyDescent="0.25">
      <c r="F1371" s="16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17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14"/>
      <c r="AE1371" s="8"/>
      <c r="AF1371" s="8"/>
      <c r="AG1371" s="8"/>
      <c r="AH1371" s="8"/>
      <c r="BK1371" s="175"/>
    </row>
    <row r="1372" spans="6:63" x14ac:dyDescent="0.25">
      <c r="F1372" s="16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17"/>
      <c r="T1372" s="8"/>
      <c r="U1372" s="8"/>
      <c r="V1372" s="8"/>
      <c r="W1372" s="8"/>
      <c r="X1372" s="8"/>
      <c r="Y1372" s="8"/>
      <c r="Z1372" s="8"/>
      <c r="AA1372" s="8"/>
      <c r="AB1372" s="8"/>
      <c r="AC1372" s="8"/>
      <c r="AD1372" s="14"/>
      <c r="AE1372" s="8"/>
      <c r="AF1372" s="8"/>
      <c r="AG1372" s="8"/>
      <c r="AH1372" s="8"/>
      <c r="BK1372" s="175"/>
    </row>
    <row r="1373" spans="6:63" x14ac:dyDescent="0.25">
      <c r="F1373" s="16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17"/>
      <c r="T1373" s="8"/>
      <c r="U1373" s="8"/>
      <c r="V1373" s="8"/>
      <c r="W1373" s="8"/>
      <c r="X1373" s="8"/>
      <c r="Y1373" s="8"/>
      <c r="Z1373" s="8"/>
      <c r="AA1373" s="8"/>
      <c r="AB1373" s="8"/>
      <c r="AC1373" s="8"/>
      <c r="AD1373" s="14"/>
      <c r="AE1373" s="8"/>
      <c r="AF1373" s="8"/>
      <c r="AG1373" s="8"/>
      <c r="AH1373" s="8"/>
      <c r="BK1373" s="175"/>
    </row>
    <row r="1374" spans="6:63" x14ac:dyDescent="0.25">
      <c r="F1374" s="16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17"/>
      <c r="T1374" s="8"/>
      <c r="U1374" s="8"/>
      <c r="V1374" s="8"/>
      <c r="W1374" s="8"/>
      <c r="X1374" s="8"/>
      <c r="Y1374" s="8"/>
      <c r="Z1374" s="8"/>
      <c r="AA1374" s="8"/>
      <c r="AB1374" s="8"/>
      <c r="AC1374" s="8"/>
      <c r="AD1374" s="14"/>
      <c r="AE1374" s="8"/>
      <c r="AF1374" s="8"/>
      <c r="AG1374" s="8"/>
      <c r="AH1374" s="8"/>
      <c r="BK1374" s="175"/>
    </row>
    <row r="1375" spans="6:63" x14ac:dyDescent="0.25">
      <c r="F1375" s="16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17"/>
      <c r="T1375" s="8"/>
      <c r="U1375" s="8"/>
      <c r="V1375" s="8"/>
      <c r="W1375" s="8"/>
      <c r="X1375" s="8"/>
      <c r="Y1375" s="8"/>
      <c r="Z1375" s="8"/>
      <c r="AA1375" s="8"/>
      <c r="AB1375" s="8"/>
      <c r="AC1375" s="8"/>
      <c r="AD1375" s="14"/>
      <c r="AE1375" s="8"/>
      <c r="AF1375" s="8"/>
      <c r="AG1375" s="8"/>
      <c r="AH1375" s="8"/>
      <c r="BK1375" s="175"/>
    </row>
    <row r="1376" spans="6:63" x14ac:dyDescent="0.25">
      <c r="F1376" s="16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17"/>
      <c r="T1376" s="8"/>
      <c r="U1376" s="8"/>
      <c r="V1376" s="8"/>
      <c r="W1376" s="8"/>
      <c r="X1376" s="8"/>
      <c r="Y1376" s="8"/>
      <c r="Z1376" s="8"/>
      <c r="AA1376" s="8"/>
      <c r="AB1376" s="8"/>
      <c r="AC1376" s="8"/>
      <c r="AD1376" s="14"/>
      <c r="AE1376" s="8"/>
      <c r="AF1376" s="8"/>
      <c r="AG1376" s="8"/>
      <c r="AH1376" s="8"/>
      <c r="BK1376" s="175"/>
    </row>
    <row r="1377" spans="6:63" x14ac:dyDescent="0.25">
      <c r="F1377" s="16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17"/>
      <c r="T1377" s="8"/>
      <c r="U1377" s="8"/>
      <c r="V1377" s="8"/>
      <c r="W1377" s="8"/>
      <c r="X1377" s="8"/>
      <c r="Y1377" s="8"/>
      <c r="Z1377" s="8"/>
      <c r="AA1377" s="8"/>
      <c r="AB1377" s="8"/>
      <c r="AC1377" s="8"/>
      <c r="AD1377" s="14"/>
      <c r="AE1377" s="8"/>
      <c r="AF1377" s="8"/>
      <c r="AG1377" s="8"/>
      <c r="AH1377" s="8"/>
      <c r="BK1377" s="175"/>
    </row>
    <row r="1378" spans="6:63" x14ac:dyDescent="0.25">
      <c r="F1378" s="16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17"/>
      <c r="T1378" s="8"/>
      <c r="U1378" s="8"/>
      <c r="V1378" s="8"/>
      <c r="W1378" s="8"/>
      <c r="X1378" s="8"/>
      <c r="Y1378" s="8"/>
      <c r="Z1378" s="8"/>
      <c r="AA1378" s="8"/>
      <c r="AB1378" s="8"/>
      <c r="AC1378" s="8"/>
      <c r="AD1378" s="14"/>
      <c r="AE1378" s="8"/>
      <c r="AF1378" s="8"/>
      <c r="AG1378" s="8"/>
      <c r="AH1378" s="8"/>
      <c r="BK1378" s="175"/>
    </row>
    <row r="1379" spans="6:63" x14ac:dyDescent="0.25">
      <c r="F1379" s="16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17"/>
      <c r="T1379" s="8"/>
      <c r="U1379" s="8"/>
      <c r="V1379" s="8"/>
      <c r="W1379" s="8"/>
      <c r="X1379" s="8"/>
      <c r="Y1379" s="8"/>
      <c r="Z1379" s="8"/>
      <c r="AA1379" s="8"/>
      <c r="AB1379" s="8"/>
      <c r="AC1379" s="8"/>
      <c r="AD1379" s="14"/>
      <c r="AE1379" s="8"/>
      <c r="AF1379" s="8"/>
      <c r="AG1379" s="8"/>
      <c r="AH1379" s="8"/>
      <c r="BK1379" s="175"/>
    </row>
    <row r="1380" spans="6:63" x14ac:dyDescent="0.25">
      <c r="F1380" s="16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17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  <c r="AD1380" s="14"/>
      <c r="AE1380" s="8"/>
      <c r="AF1380" s="8"/>
      <c r="AG1380" s="8"/>
      <c r="AH1380" s="8"/>
      <c r="BK1380" s="175"/>
    </row>
    <row r="1381" spans="6:63" x14ac:dyDescent="0.25">
      <c r="F1381" s="16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17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14"/>
      <c r="AE1381" s="8"/>
      <c r="AF1381" s="8"/>
      <c r="AG1381" s="8"/>
      <c r="AH1381" s="8"/>
      <c r="BK1381" s="175"/>
    </row>
    <row r="1382" spans="6:63" x14ac:dyDescent="0.25">
      <c r="F1382" s="16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17"/>
      <c r="T1382" s="8"/>
      <c r="U1382" s="8"/>
      <c r="V1382" s="8"/>
      <c r="W1382" s="8"/>
      <c r="X1382" s="8"/>
      <c r="Y1382" s="8"/>
      <c r="Z1382" s="8"/>
      <c r="AA1382" s="8"/>
      <c r="AB1382" s="8"/>
      <c r="AC1382" s="8"/>
      <c r="AD1382" s="14"/>
      <c r="AE1382" s="8"/>
      <c r="AF1382" s="8"/>
      <c r="AG1382" s="8"/>
      <c r="AH1382" s="8"/>
      <c r="BK1382" s="175"/>
    </row>
    <row r="1383" spans="6:63" x14ac:dyDescent="0.25">
      <c r="F1383" s="16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17"/>
      <c r="T1383" s="8"/>
      <c r="U1383" s="8"/>
      <c r="V1383" s="8"/>
      <c r="W1383" s="8"/>
      <c r="X1383" s="8"/>
      <c r="Y1383" s="8"/>
      <c r="Z1383" s="8"/>
      <c r="AA1383" s="8"/>
      <c r="AB1383" s="8"/>
      <c r="AC1383" s="8"/>
      <c r="AD1383" s="14"/>
      <c r="AE1383" s="8"/>
      <c r="AF1383" s="8"/>
      <c r="AG1383" s="8"/>
      <c r="AH1383" s="8"/>
      <c r="BK1383" s="175"/>
    </row>
    <row r="1384" spans="6:63" x14ac:dyDescent="0.25">
      <c r="F1384" s="16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17"/>
      <c r="T1384" s="8"/>
      <c r="U1384" s="8"/>
      <c r="V1384" s="8"/>
      <c r="W1384" s="8"/>
      <c r="X1384" s="8"/>
      <c r="Y1384" s="8"/>
      <c r="Z1384" s="8"/>
      <c r="AA1384" s="8"/>
      <c r="AB1384" s="8"/>
      <c r="AC1384" s="8"/>
      <c r="AD1384" s="14"/>
      <c r="AE1384" s="8"/>
      <c r="AF1384" s="8"/>
      <c r="AG1384" s="8"/>
      <c r="AH1384" s="8"/>
      <c r="BK1384" s="175"/>
    </row>
    <row r="1385" spans="6:63" x14ac:dyDescent="0.25">
      <c r="F1385" s="16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17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14"/>
      <c r="AE1385" s="8"/>
      <c r="AF1385" s="8"/>
      <c r="AG1385" s="8"/>
      <c r="AH1385" s="8"/>
      <c r="BK1385" s="175"/>
    </row>
    <row r="1386" spans="6:63" x14ac:dyDescent="0.25">
      <c r="F1386" s="16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17"/>
      <c r="T1386" s="8"/>
      <c r="U1386" s="8"/>
      <c r="V1386" s="8"/>
      <c r="W1386" s="8"/>
      <c r="X1386" s="8"/>
      <c r="Y1386" s="8"/>
      <c r="Z1386" s="8"/>
      <c r="AA1386" s="8"/>
      <c r="AB1386" s="8"/>
      <c r="AC1386" s="8"/>
      <c r="AD1386" s="14"/>
      <c r="AE1386" s="8"/>
      <c r="AF1386" s="8"/>
      <c r="AG1386" s="8"/>
      <c r="AH1386" s="8"/>
      <c r="BK1386" s="175"/>
    </row>
    <row r="1387" spans="6:63" x14ac:dyDescent="0.25">
      <c r="F1387" s="16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17"/>
      <c r="T1387" s="8"/>
      <c r="U1387" s="8"/>
      <c r="V1387" s="8"/>
      <c r="W1387" s="8"/>
      <c r="X1387" s="8"/>
      <c r="Y1387" s="8"/>
      <c r="Z1387" s="8"/>
      <c r="AA1387" s="8"/>
      <c r="AB1387" s="8"/>
      <c r="AC1387" s="8"/>
      <c r="AD1387" s="14"/>
      <c r="AE1387" s="8"/>
      <c r="AF1387" s="8"/>
      <c r="AG1387" s="8"/>
      <c r="AH1387" s="8"/>
      <c r="BK1387" s="175"/>
    </row>
    <row r="1388" spans="6:63" x14ac:dyDescent="0.25">
      <c r="F1388" s="16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17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14"/>
      <c r="AE1388" s="8"/>
      <c r="AF1388" s="8"/>
      <c r="AG1388" s="8"/>
      <c r="AH1388" s="8"/>
      <c r="BK1388" s="175"/>
    </row>
    <row r="1389" spans="6:63" x14ac:dyDescent="0.25">
      <c r="F1389" s="16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17"/>
      <c r="T1389" s="8"/>
      <c r="U1389" s="8"/>
      <c r="V1389" s="8"/>
      <c r="W1389" s="8"/>
      <c r="X1389" s="8"/>
      <c r="Y1389" s="8"/>
      <c r="Z1389" s="8"/>
      <c r="AA1389" s="8"/>
      <c r="AB1389" s="8"/>
      <c r="AC1389" s="8"/>
      <c r="AD1389" s="14"/>
      <c r="AE1389" s="8"/>
      <c r="AF1389" s="8"/>
      <c r="AG1389" s="8"/>
      <c r="AH1389" s="8"/>
      <c r="BK1389" s="175"/>
    </row>
    <row r="1390" spans="6:63" x14ac:dyDescent="0.25">
      <c r="F1390" s="16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17"/>
      <c r="T1390" s="8"/>
      <c r="U1390" s="8"/>
      <c r="V1390" s="8"/>
      <c r="W1390" s="8"/>
      <c r="X1390" s="8"/>
      <c r="Y1390" s="8"/>
      <c r="Z1390" s="8"/>
      <c r="AA1390" s="8"/>
      <c r="AB1390" s="8"/>
      <c r="AC1390" s="8"/>
      <c r="AD1390" s="14"/>
      <c r="AE1390" s="8"/>
      <c r="AF1390" s="8"/>
      <c r="AG1390" s="8"/>
      <c r="AH1390" s="8"/>
      <c r="BK1390" s="175"/>
    </row>
    <row r="1391" spans="6:63" x14ac:dyDescent="0.25">
      <c r="F1391" s="16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17"/>
      <c r="T1391" s="8"/>
      <c r="U1391" s="8"/>
      <c r="V1391" s="8"/>
      <c r="W1391" s="8"/>
      <c r="X1391" s="8"/>
      <c r="Y1391" s="8"/>
      <c r="Z1391" s="8"/>
      <c r="AA1391" s="8"/>
      <c r="AB1391" s="8"/>
      <c r="AC1391" s="8"/>
      <c r="AD1391" s="14"/>
      <c r="AE1391" s="8"/>
      <c r="AF1391" s="8"/>
      <c r="AG1391" s="8"/>
      <c r="AH1391" s="8"/>
      <c r="BK1391" s="175"/>
    </row>
    <row r="1392" spans="6:63" x14ac:dyDescent="0.25">
      <c r="F1392" s="16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17"/>
      <c r="T1392" s="8"/>
      <c r="U1392" s="8"/>
      <c r="V1392" s="8"/>
      <c r="W1392" s="8"/>
      <c r="X1392" s="8"/>
      <c r="Y1392" s="8"/>
      <c r="Z1392" s="8"/>
      <c r="AA1392" s="8"/>
      <c r="AB1392" s="8"/>
      <c r="AC1392" s="8"/>
      <c r="AD1392" s="14"/>
      <c r="AE1392" s="8"/>
      <c r="AF1392" s="8"/>
      <c r="AG1392" s="8"/>
      <c r="AH1392" s="8"/>
      <c r="BK1392" s="175"/>
    </row>
    <row r="1393" spans="6:63" x14ac:dyDescent="0.25">
      <c r="F1393" s="16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17"/>
      <c r="T1393" s="8"/>
      <c r="U1393" s="8"/>
      <c r="V1393" s="8"/>
      <c r="W1393" s="8"/>
      <c r="X1393" s="8"/>
      <c r="Y1393" s="8"/>
      <c r="Z1393" s="8"/>
      <c r="AA1393" s="8"/>
      <c r="AB1393" s="8"/>
      <c r="AC1393" s="8"/>
      <c r="AD1393" s="14"/>
      <c r="AE1393" s="8"/>
      <c r="AF1393" s="8"/>
      <c r="AG1393" s="8"/>
      <c r="AH1393" s="8"/>
      <c r="BK1393" s="175"/>
    </row>
    <row r="1394" spans="6:63" x14ac:dyDescent="0.25">
      <c r="F1394" s="16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17"/>
      <c r="T1394" s="8"/>
      <c r="U1394" s="8"/>
      <c r="V1394" s="8"/>
      <c r="W1394" s="8"/>
      <c r="X1394" s="8"/>
      <c r="Y1394" s="8"/>
      <c r="Z1394" s="8"/>
      <c r="AA1394" s="8"/>
      <c r="AB1394" s="8"/>
      <c r="AC1394" s="8"/>
      <c r="AD1394" s="14"/>
      <c r="AE1394" s="8"/>
      <c r="AF1394" s="8"/>
      <c r="AG1394" s="8"/>
      <c r="AH1394" s="8"/>
      <c r="BK1394" s="175"/>
    </row>
    <row r="1395" spans="6:63" x14ac:dyDescent="0.25">
      <c r="F1395" s="16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17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  <c r="AD1395" s="14"/>
      <c r="AE1395" s="8"/>
      <c r="AF1395" s="8"/>
      <c r="AG1395" s="8"/>
      <c r="AH1395" s="8"/>
      <c r="BK1395" s="175"/>
    </row>
    <row r="1396" spans="6:63" x14ac:dyDescent="0.25">
      <c r="F1396" s="16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17"/>
      <c r="T1396" s="8"/>
      <c r="U1396" s="8"/>
      <c r="V1396" s="8"/>
      <c r="W1396" s="8"/>
      <c r="X1396" s="8"/>
      <c r="Y1396" s="8"/>
      <c r="Z1396" s="8"/>
      <c r="AA1396" s="8"/>
      <c r="AB1396" s="8"/>
      <c r="AC1396" s="8"/>
      <c r="AD1396" s="14"/>
      <c r="AE1396" s="8"/>
      <c r="AF1396" s="8"/>
      <c r="AG1396" s="8"/>
      <c r="AH1396" s="8"/>
      <c r="BK1396" s="175"/>
    </row>
    <row r="1397" spans="6:63" x14ac:dyDescent="0.25">
      <c r="F1397" s="16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17"/>
      <c r="T1397" s="8"/>
      <c r="U1397" s="8"/>
      <c r="V1397" s="8"/>
      <c r="W1397" s="8"/>
      <c r="X1397" s="8"/>
      <c r="Y1397" s="8"/>
      <c r="Z1397" s="8"/>
      <c r="AA1397" s="8"/>
      <c r="AB1397" s="8"/>
      <c r="AC1397" s="8"/>
      <c r="AD1397" s="14"/>
      <c r="AE1397" s="8"/>
      <c r="AF1397" s="8"/>
      <c r="AG1397" s="8"/>
      <c r="AH1397" s="8"/>
      <c r="BK1397" s="175"/>
    </row>
    <row r="1398" spans="6:63" x14ac:dyDescent="0.25">
      <c r="F1398" s="16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17"/>
      <c r="T1398" s="8"/>
      <c r="U1398" s="8"/>
      <c r="V1398" s="8"/>
      <c r="W1398" s="8"/>
      <c r="X1398" s="8"/>
      <c r="Y1398" s="8"/>
      <c r="Z1398" s="8"/>
      <c r="AA1398" s="8"/>
      <c r="AB1398" s="8"/>
      <c r="AC1398" s="8"/>
      <c r="AD1398" s="14"/>
      <c r="AE1398" s="8"/>
      <c r="AF1398" s="8"/>
      <c r="AG1398" s="8"/>
      <c r="AH1398" s="8"/>
      <c r="BK1398" s="175"/>
    </row>
    <row r="1399" spans="6:63" x14ac:dyDescent="0.25">
      <c r="F1399" s="16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17"/>
      <c r="T1399" s="8"/>
      <c r="U1399" s="8"/>
      <c r="V1399" s="8"/>
      <c r="W1399" s="8"/>
      <c r="X1399" s="8"/>
      <c r="Y1399" s="8"/>
      <c r="Z1399" s="8"/>
      <c r="AA1399" s="8"/>
      <c r="AB1399" s="8"/>
      <c r="AC1399" s="8"/>
      <c r="AD1399" s="14"/>
      <c r="AE1399" s="8"/>
      <c r="AF1399" s="8"/>
      <c r="AG1399" s="8"/>
      <c r="AH1399" s="8"/>
      <c r="BK1399" s="175"/>
    </row>
    <row r="1400" spans="6:63" x14ac:dyDescent="0.25">
      <c r="F1400" s="16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17"/>
      <c r="T1400" s="8"/>
      <c r="U1400" s="8"/>
      <c r="V1400" s="8"/>
      <c r="W1400" s="8"/>
      <c r="X1400" s="8"/>
      <c r="Y1400" s="8"/>
      <c r="Z1400" s="8"/>
      <c r="AA1400" s="8"/>
      <c r="AB1400" s="8"/>
      <c r="AC1400" s="8"/>
      <c r="AD1400" s="14"/>
      <c r="AE1400" s="8"/>
      <c r="AF1400" s="8"/>
      <c r="AG1400" s="8"/>
      <c r="AH1400" s="8"/>
      <c r="BK1400" s="175"/>
    </row>
    <row r="1401" spans="6:63" x14ac:dyDescent="0.25">
      <c r="F1401" s="16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17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  <c r="AD1401" s="14"/>
      <c r="AE1401" s="8"/>
      <c r="AF1401" s="8"/>
      <c r="AG1401" s="8"/>
      <c r="AH1401" s="8"/>
      <c r="BK1401" s="175"/>
    </row>
    <row r="1402" spans="6:63" x14ac:dyDescent="0.25">
      <c r="F1402" s="16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17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14"/>
      <c r="AE1402" s="8"/>
      <c r="AF1402" s="8"/>
      <c r="AG1402" s="8"/>
      <c r="AH1402" s="8"/>
      <c r="BK1402" s="175"/>
    </row>
    <row r="1403" spans="6:63" x14ac:dyDescent="0.25">
      <c r="F1403" s="16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17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14"/>
      <c r="AE1403" s="8"/>
      <c r="AF1403" s="8"/>
      <c r="AG1403" s="8"/>
      <c r="AH1403" s="8"/>
      <c r="BK1403" s="175"/>
    </row>
    <row r="1404" spans="6:63" x14ac:dyDescent="0.25">
      <c r="F1404" s="16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17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14"/>
      <c r="AE1404" s="8"/>
      <c r="AF1404" s="8"/>
      <c r="AG1404" s="8"/>
      <c r="AH1404" s="8"/>
      <c r="BK1404" s="175"/>
    </row>
    <row r="1405" spans="6:63" x14ac:dyDescent="0.25">
      <c r="F1405" s="16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17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14"/>
      <c r="AE1405" s="8"/>
      <c r="AF1405" s="8"/>
      <c r="AG1405" s="8"/>
      <c r="AH1405" s="8"/>
      <c r="BK1405" s="175"/>
    </row>
    <row r="1406" spans="6:63" x14ac:dyDescent="0.25">
      <c r="F1406" s="16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17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14"/>
      <c r="AE1406" s="8"/>
      <c r="AF1406" s="8"/>
      <c r="AG1406" s="8"/>
      <c r="AH1406" s="8"/>
      <c r="BK1406" s="175"/>
    </row>
    <row r="1407" spans="6:63" x14ac:dyDescent="0.25">
      <c r="F1407" s="16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17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14"/>
      <c r="AE1407" s="8"/>
      <c r="AF1407" s="8"/>
      <c r="AG1407" s="8"/>
      <c r="AH1407" s="8"/>
      <c r="BK1407" s="175"/>
    </row>
    <row r="1408" spans="6:63" x14ac:dyDescent="0.25">
      <c r="F1408" s="16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17"/>
      <c r="T1408" s="8"/>
      <c r="U1408" s="8"/>
      <c r="V1408" s="8"/>
      <c r="W1408" s="8"/>
      <c r="X1408" s="8"/>
      <c r="Y1408" s="8"/>
      <c r="Z1408" s="8"/>
      <c r="AA1408" s="8"/>
      <c r="AB1408" s="8"/>
      <c r="AC1408" s="8"/>
      <c r="AD1408" s="14"/>
      <c r="AE1408" s="8"/>
      <c r="AF1408" s="8"/>
      <c r="AG1408" s="8"/>
      <c r="AH1408" s="8"/>
      <c r="BK1408" s="175"/>
    </row>
    <row r="1409" spans="6:63" x14ac:dyDescent="0.25">
      <c r="F1409" s="16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17"/>
      <c r="T1409" s="8"/>
      <c r="U1409" s="8"/>
      <c r="V1409" s="8"/>
      <c r="W1409" s="8"/>
      <c r="X1409" s="8"/>
      <c r="Y1409" s="8"/>
      <c r="Z1409" s="8"/>
      <c r="AA1409" s="8"/>
      <c r="AB1409" s="8"/>
      <c r="AC1409" s="8"/>
      <c r="AD1409" s="14"/>
      <c r="AE1409" s="8"/>
      <c r="AF1409" s="8"/>
      <c r="AG1409" s="8"/>
      <c r="AH1409" s="8"/>
      <c r="BK1409" s="175"/>
    </row>
    <row r="1410" spans="6:63" x14ac:dyDescent="0.25">
      <c r="F1410" s="16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17"/>
      <c r="T1410" s="8"/>
      <c r="U1410" s="8"/>
      <c r="V1410" s="8"/>
      <c r="W1410" s="8"/>
      <c r="X1410" s="8"/>
      <c r="Y1410" s="8"/>
      <c r="Z1410" s="8"/>
      <c r="AA1410" s="8"/>
      <c r="AB1410" s="8"/>
      <c r="AC1410" s="8"/>
      <c r="AD1410" s="14"/>
      <c r="AE1410" s="8"/>
      <c r="AF1410" s="8"/>
      <c r="AG1410" s="8"/>
      <c r="AH1410" s="8"/>
      <c r="BK1410" s="175"/>
    </row>
    <row r="1411" spans="6:63" x14ac:dyDescent="0.25">
      <c r="F1411" s="16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17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14"/>
      <c r="AE1411" s="8"/>
      <c r="AF1411" s="8"/>
      <c r="AG1411" s="8"/>
      <c r="AH1411" s="8"/>
      <c r="BK1411" s="175"/>
    </row>
    <row r="1412" spans="6:63" x14ac:dyDescent="0.25">
      <c r="F1412" s="16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17"/>
      <c r="T1412" s="8"/>
      <c r="U1412" s="8"/>
      <c r="V1412" s="8"/>
      <c r="W1412" s="8"/>
      <c r="X1412" s="8"/>
      <c r="Y1412" s="8"/>
      <c r="Z1412" s="8"/>
      <c r="AA1412" s="8"/>
      <c r="AB1412" s="8"/>
      <c r="AC1412" s="8"/>
      <c r="AD1412" s="14"/>
      <c r="AE1412" s="8"/>
      <c r="AF1412" s="8"/>
      <c r="AG1412" s="8"/>
      <c r="AH1412" s="8"/>
      <c r="BK1412" s="175"/>
    </row>
    <row r="1413" spans="6:63" x14ac:dyDescent="0.25">
      <c r="F1413" s="16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17"/>
      <c r="T1413" s="8"/>
      <c r="U1413" s="8"/>
      <c r="V1413" s="8"/>
      <c r="W1413" s="8"/>
      <c r="X1413" s="8"/>
      <c r="Y1413" s="8"/>
      <c r="Z1413" s="8"/>
      <c r="AA1413" s="8"/>
      <c r="AB1413" s="8"/>
      <c r="AC1413" s="8"/>
      <c r="AD1413" s="14"/>
      <c r="AE1413" s="8"/>
      <c r="AF1413" s="8"/>
      <c r="AG1413" s="8"/>
      <c r="AH1413" s="8"/>
    </row>
    <row r="1414" spans="6:63" x14ac:dyDescent="0.25">
      <c r="F1414" s="16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17"/>
      <c r="T1414" s="8"/>
      <c r="U1414" s="8"/>
      <c r="V1414" s="8"/>
      <c r="W1414" s="8"/>
      <c r="X1414" s="8"/>
      <c r="Y1414" s="8"/>
      <c r="Z1414" s="8"/>
      <c r="AA1414" s="8"/>
      <c r="AB1414" s="8"/>
      <c r="AC1414" s="8"/>
      <c r="AD1414" s="14"/>
      <c r="AE1414" s="8"/>
      <c r="AF1414" s="8"/>
      <c r="AG1414" s="8"/>
      <c r="AH1414" s="8"/>
    </row>
    <row r="1415" spans="6:63" x14ac:dyDescent="0.25">
      <c r="F1415" s="16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17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14"/>
      <c r="AE1415" s="8"/>
      <c r="AF1415" s="8"/>
      <c r="AG1415" s="8"/>
      <c r="AH1415" s="8"/>
    </row>
    <row r="1416" spans="6:63" x14ac:dyDescent="0.25">
      <c r="F1416" s="16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17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14"/>
      <c r="AE1416" s="8"/>
      <c r="AF1416" s="8"/>
      <c r="AG1416" s="8"/>
      <c r="AH1416" s="8"/>
    </row>
    <row r="1417" spans="6:63" x14ac:dyDescent="0.25">
      <c r="F1417" s="16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17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14"/>
      <c r="AE1417" s="8"/>
      <c r="AF1417" s="8"/>
      <c r="AG1417" s="8"/>
      <c r="AH1417" s="8"/>
    </row>
    <row r="1418" spans="6:63" x14ac:dyDescent="0.25">
      <c r="F1418" s="16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17"/>
      <c r="T1418" s="8"/>
      <c r="U1418" s="8"/>
      <c r="V1418" s="8"/>
      <c r="W1418" s="8"/>
      <c r="X1418" s="8"/>
      <c r="Y1418" s="8"/>
      <c r="Z1418" s="8"/>
      <c r="AA1418" s="8"/>
      <c r="AB1418" s="8"/>
      <c r="AC1418" s="8"/>
      <c r="AD1418" s="14"/>
      <c r="AE1418" s="8"/>
      <c r="AF1418" s="8"/>
      <c r="AG1418" s="8"/>
      <c r="AH1418" s="8"/>
    </row>
    <row r="1419" spans="6:63" x14ac:dyDescent="0.25">
      <c r="F1419" s="16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17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14"/>
      <c r="AE1419" s="8"/>
      <c r="AF1419" s="8"/>
      <c r="AG1419" s="8"/>
      <c r="AH1419" s="8"/>
    </row>
    <row r="1420" spans="6:63" x14ac:dyDescent="0.25">
      <c r="F1420" s="16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17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14"/>
      <c r="AE1420" s="8"/>
      <c r="AF1420" s="8"/>
      <c r="AG1420" s="8"/>
      <c r="AH1420" s="8"/>
    </row>
    <row r="1421" spans="6:63" x14ac:dyDescent="0.25">
      <c r="F1421" s="16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17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14"/>
      <c r="AE1421" s="8"/>
      <c r="AF1421" s="8"/>
      <c r="AG1421" s="8"/>
      <c r="AH1421" s="8"/>
    </row>
    <row r="1422" spans="6:63" x14ac:dyDescent="0.25">
      <c r="F1422" s="16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17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14"/>
      <c r="AE1422" s="8"/>
      <c r="AF1422" s="8"/>
      <c r="AG1422" s="8"/>
      <c r="AH1422" s="8"/>
    </row>
    <row r="1423" spans="6:63" x14ac:dyDescent="0.25">
      <c r="F1423" s="16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17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14"/>
      <c r="AE1423" s="8"/>
      <c r="AF1423" s="8"/>
      <c r="AG1423" s="8"/>
      <c r="AH1423" s="8"/>
    </row>
    <row r="1424" spans="6:63" x14ac:dyDescent="0.25">
      <c r="F1424" s="16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17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14"/>
      <c r="AE1424" s="8"/>
      <c r="AF1424" s="8"/>
      <c r="AG1424" s="8"/>
      <c r="AH1424" s="8"/>
    </row>
    <row r="1425" spans="6:34" x14ac:dyDescent="0.25">
      <c r="F1425" s="16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17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14"/>
      <c r="AE1425" s="8"/>
      <c r="AF1425" s="8"/>
      <c r="AG1425" s="8"/>
      <c r="AH1425" s="8"/>
    </row>
    <row r="1426" spans="6:34" x14ac:dyDescent="0.25">
      <c r="F1426" s="16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17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14"/>
      <c r="AE1426" s="8"/>
      <c r="AF1426" s="8"/>
      <c r="AG1426" s="8"/>
      <c r="AH1426" s="8"/>
    </row>
    <row r="1427" spans="6:34" x14ac:dyDescent="0.25">
      <c r="F1427" s="16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17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14"/>
      <c r="AE1427" s="8"/>
      <c r="AF1427" s="8"/>
      <c r="AG1427" s="8"/>
      <c r="AH1427" s="8"/>
    </row>
    <row r="1428" spans="6:34" x14ac:dyDescent="0.25">
      <c r="F1428" s="16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17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14"/>
      <c r="AE1428" s="8"/>
      <c r="AF1428" s="8"/>
      <c r="AG1428" s="8"/>
      <c r="AH1428" s="8"/>
    </row>
    <row r="1429" spans="6:34" x14ac:dyDescent="0.25">
      <c r="F1429" s="16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17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14"/>
      <c r="AE1429" s="8"/>
      <c r="AF1429" s="8"/>
      <c r="AG1429" s="8"/>
      <c r="AH1429" s="8"/>
    </row>
    <row r="1430" spans="6:34" x14ac:dyDescent="0.25">
      <c r="F1430" s="16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17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14"/>
      <c r="AE1430" s="8"/>
      <c r="AF1430" s="8"/>
      <c r="AG1430" s="8"/>
      <c r="AH1430" s="8"/>
    </row>
    <row r="1431" spans="6:34" x14ac:dyDescent="0.25">
      <c r="F1431" s="16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17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14"/>
      <c r="AE1431" s="8"/>
      <c r="AF1431" s="8"/>
      <c r="AG1431" s="8"/>
      <c r="AH1431" s="8"/>
    </row>
    <row r="1432" spans="6:34" x14ac:dyDescent="0.25">
      <c r="F1432" s="16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17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14"/>
      <c r="AE1432" s="8"/>
      <c r="AF1432" s="8"/>
      <c r="AG1432" s="8"/>
      <c r="AH1432" s="8"/>
    </row>
    <row r="1433" spans="6:34" x14ac:dyDescent="0.25">
      <c r="F1433" s="16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17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14"/>
      <c r="AE1433" s="8"/>
      <c r="AF1433" s="8"/>
      <c r="AG1433" s="8"/>
      <c r="AH1433" s="8"/>
    </row>
    <row r="1434" spans="6:34" x14ac:dyDescent="0.25">
      <c r="F1434" s="16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17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14"/>
      <c r="AE1434" s="8"/>
      <c r="AF1434" s="8"/>
      <c r="AG1434" s="8"/>
      <c r="AH1434" s="8"/>
    </row>
    <row r="1435" spans="6:34" x14ac:dyDescent="0.25">
      <c r="F1435" s="16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17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14"/>
      <c r="AE1435" s="8"/>
      <c r="AF1435" s="8"/>
      <c r="AG1435" s="8"/>
      <c r="AH1435" s="8"/>
    </row>
    <row r="1436" spans="6:34" x14ac:dyDescent="0.25">
      <c r="F1436" s="16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17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14"/>
      <c r="AE1436" s="8"/>
      <c r="AF1436" s="8"/>
      <c r="AG1436" s="8"/>
      <c r="AH1436" s="8"/>
    </row>
    <row r="1437" spans="6:34" x14ac:dyDescent="0.25">
      <c r="F1437" s="16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17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14"/>
      <c r="AE1437" s="8"/>
      <c r="AF1437" s="8"/>
      <c r="AG1437" s="8"/>
      <c r="AH1437" s="8"/>
    </row>
    <row r="1438" spans="6:34" x14ac:dyDescent="0.25">
      <c r="F1438" s="16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17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14"/>
      <c r="AE1438" s="8"/>
      <c r="AF1438" s="8"/>
      <c r="AG1438" s="8"/>
      <c r="AH1438" s="8"/>
    </row>
    <row r="1439" spans="6:34" x14ac:dyDescent="0.25">
      <c r="F1439" s="16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17"/>
      <c r="T1439" s="8"/>
      <c r="U1439" s="8"/>
      <c r="V1439" s="8"/>
      <c r="W1439" s="8"/>
      <c r="X1439" s="8"/>
      <c r="Y1439" s="8"/>
      <c r="Z1439" s="8"/>
      <c r="AA1439" s="8"/>
      <c r="AB1439" s="8"/>
      <c r="AC1439" s="8"/>
      <c r="AD1439" s="14"/>
      <c r="AE1439" s="8"/>
      <c r="AF1439" s="8"/>
      <c r="AG1439" s="8"/>
      <c r="AH1439" s="8"/>
    </row>
    <row r="1440" spans="6:34" x14ac:dyDescent="0.25">
      <c r="F1440" s="16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17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  <c r="AD1440" s="14"/>
      <c r="AE1440" s="8"/>
      <c r="AF1440" s="8"/>
      <c r="AG1440" s="8"/>
      <c r="AH1440" s="8"/>
    </row>
    <row r="1441" spans="6:34" x14ac:dyDescent="0.25">
      <c r="F1441" s="16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17"/>
      <c r="T1441" s="8"/>
      <c r="U1441" s="8"/>
      <c r="V1441" s="8"/>
      <c r="W1441" s="8"/>
      <c r="X1441" s="8"/>
      <c r="Y1441" s="8"/>
      <c r="Z1441" s="8"/>
      <c r="AA1441" s="8"/>
      <c r="AB1441" s="8"/>
      <c r="AC1441" s="8"/>
      <c r="AD1441" s="14"/>
      <c r="AE1441" s="8"/>
      <c r="AF1441" s="8"/>
      <c r="AG1441" s="8"/>
      <c r="AH1441" s="8"/>
    </row>
    <row r="1442" spans="6:34" x14ac:dyDescent="0.25">
      <c r="F1442" s="16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17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  <c r="AD1442" s="14"/>
      <c r="AE1442" s="8"/>
      <c r="AF1442" s="8"/>
      <c r="AG1442" s="8"/>
      <c r="AH1442" s="8"/>
    </row>
    <row r="1443" spans="6:34" x14ac:dyDescent="0.25">
      <c r="F1443" s="16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17"/>
      <c r="T1443" s="8"/>
      <c r="U1443" s="8"/>
      <c r="V1443" s="8"/>
      <c r="W1443" s="8"/>
      <c r="X1443" s="8"/>
      <c r="Y1443" s="8"/>
      <c r="Z1443" s="8"/>
      <c r="AA1443" s="8"/>
      <c r="AB1443" s="8"/>
      <c r="AC1443" s="8"/>
      <c r="AD1443" s="14"/>
      <c r="AE1443" s="8"/>
      <c r="AF1443" s="8"/>
      <c r="AG1443" s="8"/>
      <c r="AH1443" s="8"/>
    </row>
    <row r="1444" spans="6:34" x14ac:dyDescent="0.25">
      <c r="F1444" s="16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17"/>
      <c r="T1444" s="8"/>
      <c r="U1444" s="8"/>
      <c r="V1444" s="8"/>
      <c r="W1444" s="8"/>
      <c r="X1444" s="8"/>
      <c r="Y1444" s="8"/>
      <c r="Z1444" s="8"/>
      <c r="AA1444" s="8"/>
      <c r="AB1444" s="8"/>
      <c r="AC1444" s="8"/>
      <c r="AD1444" s="14"/>
      <c r="AE1444" s="8"/>
      <c r="AF1444" s="8"/>
      <c r="AG1444" s="8"/>
      <c r="AH1444" s="8"/>
    </row>
    <row r="1445" spans="6:34" x14ac:dyDescent="0.25">
      <c r="F1445" s="16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17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14"/>
      <c r="AE1445" s="8"/>
      <c r="AF1445" s="8"/>
      <c r="AG1445" s="8"/>
      <c r="AH1445" s="8"/>
    </row>
    <row r="1446" spans="6:34" x14ac:dyDescent="0.25">
      <c r="F1446" s="16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17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14"/>
      <c r="AE1446" s="8"/>
      <c r="AF1446" s="8"/>
      <c r="AG1446" s="8"/>
      <c r="AH1446" s="8"/>
    </row>
    <row r="1447" spans="6:34" x14ac:dyDescent="0.25">
      <c r="F1447" s="16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17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14"/>
      <c r="AE1447" s="8"/>
      <c r="AF1447" s="8"/>
      <c r="AG1447" s="8"/>
      <c r="AH1447" s="8"/>
    </row>
    <row r="1448" spans="6:34" x14ac:dyDescent="0.25">
      <c r="F1448" s="16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17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14"/>
      <c r="AE1448" s="8"/>
      <c r="AF1448" s="8"/>
      <c r="AG1448" s="8"/>
      <c r="AH1448" s="8"/>
    </row>
    <row r="1449" spans="6:34" x14ac:dyDescent="0.25">
      <c r="F1449" s="16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17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14"/>
      <c r="AE1449" s="8"/>
      <c r="AF1449" s="8"/>
      <c r="AG1449" s="8"/>
      <c r="AH1449" s="8"/>
    </row>
    <row r="1450" spans="6:34" x14ac:dyDescent="0.25">
      <c r="F1450" s="16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17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14"/>
      <c r="AE1450" s="8"/>
      <c r="AF1450" s="8"/>
      <c r="AG1450" s="8"/>
      <c r="AH1450" s="8"/>
    </row>
    <row r="1451" spans="6:34" x14ac:dyDescent="0.25">
      <c r="F1451" s="16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17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14"/>
      <c r="AE1451" s="8"/>
      <c r="AF1451" s="8"/>
      <c r="AG1451" s="8"/>
      <c r="AH1451" s="8"/>
    </row>
    <row r="1452" spans="6:34" x14ac:dyDescent="0.25">
      <c r="F1452" s="16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17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14"/>
      <c r="AE1452" s="8"/>
      <c r="AF1452" s="8"/>
      <c r="AG1452" s="8"/>
      <c r="AH1452" s="8"/>
    </row>
    <row r="1453" spans="6:34" x14ac:dyDescent="0.25">
      <c r="F1453" s="16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17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14"/>
      <c r="AE1453" s="8"/>
      <c r="AF1453" s="8"/>
      <c r="AG1453" s="8"/>
      <c r="AH1453" s="8"/>
    </row>
    <row r="1454" spans="6:34" x14ac:dyDescent="0.25">
      <c r="F1454" s="16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17"/>
      <c r="T1454" s="8"/>
      <c r="U1454" s="8"/>
      <c r="V1454" s="8"/>
      <c r="W1454" s="8"/>
      <c r="X1454" s="8"/>
      <c r="Y1454" s="8"/>
      <c r="Z1454" s="8"/>
      <c r="AA1454" s="8"/>
      <c r="AB1454" s="8"/>
      <c r="AC1454" s="8"/>
      <c r="AD1454" s="14"/>
      <c r="AE1454" s="8"/>
      <c r="AF1454" s="8"/>
      <c r="AG1454" s="8"/>
      <c r="AH1454" s="8"/>
    </row>
    <row r="1455" spans="6:34" x14ac:dyDescent="0.25">
      <c r="F1455" s="16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17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14"/>
      <c r="AE1455" s="8"/>
      <c r="AF1455" s="8"/>
      <c r="AG1455" s="8"/>
      <c r="AH1455" s="8"/>
    </row>
    <row r="1456" spans="6:34" x14ac:dyDescent="0.25">
      <c r="F1456" s="16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17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14"/>
      <c r="AE1456" s="8"/>
      <c r="AF1456" s="8"/>
      <c r="AG1456" s="8"/>
      <c r="AH1456" s="8"/>
    </row>
    <row r="1457" spans="6:34" x14ac:dyDescent="0.25">
      <c r="F1457" s="16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17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14"/>
      <c r="AE1457" s="8"/>
      <c r="AF1457" s="8"/>
      <c r="AG1457" s="8"/>
      <c r="AH1457" s="8"/>
    </row>
    <row r="1458" spans="6:34" x14ac:dyDescent="0.25">
      <c r="F1458" s="16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17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14"/>
      <c r="AE1458" s="8"/>
      <c r="AF1458" s="8"/>
      <c r="AG1458" s="8"/>
      <c r="AH1458" s="8"/>
    </row>
    <row r="1459" spans="6:34" x14ac:dyDescent="0.25">
      <c r="F1459" s="16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17"/>
      <c r="T1459" s="8"/>
      <c r="U1459" s="8"/>
      <c r="V1459" s="8"/>
      <c r="W1459" s="8"/>
      <c r="X1459" s="8"/>
      <c r="Y1459" s="8"/>
      <c r="Z1459" s="8"/>
      <c r="AA1459" s="8"/>
      <c r="AB1459" s="8"/>
      <c r="AC1459" s="8"/>
      <c r="AD1459" s="14"/>
      <c r="AE1459" s="8"/>
      <c r="AF1459" s="8"/>
      <c r="AG1459" s="8"/>
      <c r="AH1459" s="8"/>
    </row>
    <row r="1460" spans="6:34" x14ac:dyDescent="0.25">
      <c r="F1460" s="16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17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14"/>
      <c r="AE1460" s="8"/>
      <c r="AF1460" s="8"/>
      <c r="AG1460" s="8"/>
      <c r="AH1460" s="8"/>
    </row>
    <row r="1461" spans="6:34" x14ac:dyDescent="0.25">
      <c r="F1461" s="16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17"/>
      <c r="T1461" s="8"/>
      <c r="U1461" s="8"/>
      <c r="V1461" s="8"/>
      <c r="W1461" s="8"/>
      <c r="X1461" s="8"/>
      <c r="Y1461" s="8"/>
      <c r="Z1461" s="8"/>
      <c r="AA1461" s="8"/>
      <c r="AB1461" s="8"/>
      <c r="AC1461" s="8"/>
      <c r="AD1461" s="14"/>
      <c r="AE1461" s="8"/>
      <c r="AF1461" s="8"/>
      <c r="AG1461" s="8"/>
      <c r="AH1461" s="8"/>
    </row>
    <row r="1462" spans="6:34" x14ac:dyDescent="0.25">
      <c r="F1462" s="16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17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  <c r="AD1462" s="14"/>
      <c r="AE1462" s="8"/>
      <c r="AF1462" s="8"/>
      <c r="AG1462" s="8"/>
      <c r="AH1462" s="8"/>
    </row>
    <row r="1463" spans="6:34" x14ac:dyDescent="0.25">
      <c r="F1463" s="16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17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  <c r="AD1463" s="14"/>
      <c r="AE1463" s="8"/>
      <c r="AF1463" s="8"/>
      <c r="AG1463" s="8"/>
      <c r="AH1463" s="8"/>
    </row>
    <row r="1464" spans="6:34" x14ac:dyDescent="0.25">
      <c r="F1464" s="16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17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14"/>
      <c r="AE1464" s="8"/>
      <c r="AF1464" s="8"/>
      <c r="AG1464" s="8"/>
      <c r="AH1464" s="8"/>
    </row>
    <row r="1465" spans="6:34" x14ac:dyDescent="0.25">
      <c r="F1465" s="16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17"/>
      <c r="T1465" s="8"/>
      <c r="U1465" s="8"/>
      <c r="V1465" s="8"/>
      <c r="W1465" s="8"/>
      <c r="X1465" s="8"/>
      <c r="Y1465" s="8"/>
      <c r="Z1465" s="8"/>
      <c r="AA1465" s="8"/>
      <c r="AB1465" s="8"/>
      <c r="AC1465" s="8"/>
      <c r="AD1465" s="14"/>
      <c r="AE1465" s="8"/>
      <c r="AF1465" s="8"/>
      <c r="AG1465" s="8"/>
      <c r="AH1465" s="8"/>
    </row>
    <row r="1466" spans="6:34" x14ac:dyDescent="0.25">
      <c r="F1466" s="16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17"/>
      <c r="T1466" s="8"/>
      <c r="U1466" s="8"/>
      <c r="V1466" s="8"/>
      <c r="W1466" s="8"/>
      <c r="X1466" s="8"/>
      <c r="Y1466" s="8"/>
      <c r="Z1466" s="8"/>
      <c r="AA1466" s="8"/>
      <c r="AB1466" s="8"/>
      <c r="AC1466" s="8"/>
      <c r="AD1466" s="14"/>
      <c r="AE1466" s="8"/>
      <c r="AF1466" s="8"/>
      <c r="AG1466" s="8"/>
      <c r="AH1466" s="8"/>
    </row>
    <row r="1467" spans="6:34" x14ac:dyDescent="0.25">
      <c r="F1467" s="16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17"/>
      <c r="T1467" s="8"/>
      <c r="U1467" s="8"/>
      <c r="V1467" s="8"/>
      <c r="W1467" s="8"/>
      <c r="X1467" s="8"/>
      <c r="Y1467" s="8"/>
      <c r="Z1467" s="8"/>
      <c r="AA1467" s="8"/>
      <c r="AB1467" s="8"/>
      <c r="AC1467" s="8"/>
      <c r="AD1467" s="14"/>
      <c r="AE1467" s="8"/>
      <c r="AF1467" s="8"/>
      <c r="AG1467" s="8"/>
      <c r="AH1467" s="8"/>
    </row>
    <row r="1468" spans="6:34" x14ac:dyDescent="0.25">
      <c r="F1468" s="16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17"/>
      <c r="T1468" s="8"/>
      <c r="U1468" s="8"/>
      <c r="V1468" s="8"/>
      <c r="W1468" s="8"/>
      <c r="X1468" s="8"/>
      <c r="Y1468" s="8"/>
      <c r="Z1468" s="8"/>
      <c r="AA1468" s="8"/>
      <c r="AB1468" s="8"/>
      <c r="AC1468" s="8"/>
      <c r="AD1468" s="14"/>
      <c r="AE1468" s="8"/>
      <c r="AF1468" s="8"/>
      <c r="AG1468" s="8"/>
      <c r="AH1468" s="8"/>
    </row>
    <row r="1469" spans="6:34" x14ac:dyDescent="0.25">
      <c r="F1469" s="16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17"/>
      <c r="T1469" s="8"/>
      <c r="U1469" s="8"/>
      <c r="V1469" s="8"/>
      <c r="W1469" s="8"/>
      <c r="X1469" s="8"/>
      <c r="Y1469" s="8"/>
      <c r="Z1469" s="8"/>
      <c r="AA1469" s="8"/>
      <c r="AB1469" s="8"/>
      <c r="AC1469" s="8"/>
      <c r="AD1469" s="14"/>
      <c r="AE1469" s="8"/>
      <c r="AF1469" s="8"/>
      <c r="AG1469" s="8"/>
      <c r="AH1469" s="8"/>
    </row>
    <row r="1470" spans="6:34" x14ac:dyDescent="0.25">
      <c r="F1470" s="16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17"/>
      <c r="T1470" s="8"/>
      <c r="U1470" s="8"/>
      <c r="V1470" s="8"/>
      <c r="W1470" s="8"/>
      <c r="X1470" s="8"/>
      <c r="Y1470" s="8"/>
      <c r="Z1470" s="8"/>
      <c r="AA1470" s="8"/>
      <c r="AB1470" s="8"/>
      <c r="AC1470" s="8"/>
      <c r="AD1470" s="14"/>
      <c r="AE1470" s="8"/>
      <c r="AF1470" s="8"/>
      <c r="AG1470" s="8"/>
      <c r="AH1470" s="8"/>
    </row>
    <row r="1471" spans="6:34" x14ac:dyDescent="0.25">
      <c r="F1471" s="16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17"/>
      <c r="T1471" s="8"/>
      <c r="U1471" s="8"/>
      <c r="V1471" s="8"/>
      <c r="W1471" s="8"/>
      <c r="X1471" s="8"/>
      <c r="Y1471" s="8"/>
      <c r="Z1471" s="8"/>
      <c r="AA1471" s="8"/>
      <c r="AB1471" s="8"/>
      <c r="AC1471" s="8"/>
      <c r="AD1471" s="14"/>
      <c r="AE1471" s="8"/>
      <c r="AF1471" s="8"/>
      <c r="AG1471" s="8"/>
      <c r="AH1471" s="8"/>
    </row>
    <row r="1472" spans="6:34" x14ac:dyDescent="0.25">
      <c r="F1472" s="16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17"/>
      <c r="T1472" s="8"/>
      <c r="U1472" s="8"/>
      <c r="V1472" s="8"/>
      <c r="W1472" s="8"/>
      <c r="X1472" s="8"/>
      <c r="Y1472" s="8"/>
      <c r="Z1472" s="8"/>
      <c r="AA1472" s="8"/>
      <c r="AB1472" s="8"/>
      <c r="AC1472" s="8"/>
      <c r="AD1472" s="14"/>
      <c r="AE1472" s="8"/>
      <c r="AF1472" s="8"/>
      <c r="AG1472" s="8"/>
      <c r="AH1472" s="8"/>
    </row>
    <row r="1473" spans="6:34" x14ac:dyDescent="0.25">
      <c r="F1473" s="16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17"/>
      <c r="T1473" s="8"/>
      <c r="U1473" s="8"/>
      <c r="V1473" s="8"/>
      <c r="W1473" s="8"/>
      <c r="X1473" s="8"/>
      <c r="Y1473" s="8"/>
      <c r="Z1473" s="8"/>
      <c r="AA1473" s="8"/>
      <c r="AB1473" s="8"/>
      <c r="AC1473" s="8"/>
      <c r="AD1473" s="14"/>
      <c r="AE1473" s="8"/>
      <c r="AF1473" s="8"/>
      <c r="AG1473" s="8"/>
      <c r="AH1473" s="8"/>
    </row>
    <row r="1474" spans="6:34" x14ac:dyDescent="0.25">
      <c r="F1474" s="16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17"/>
      <c r="T1474" s="8"/>
      <c r="U1474" s="8"/>
      <c r="V1474" s="8"/>
      <c r="W1474" s="8"/>
      <c r="X1474" s="8"/>
      <c r="Y1474" s="8"/>
      <c r="Z1474" s="8"/>
      <c r="AA1474" s="8"/>
      <c r="AB1474" s="8"/>
      <c r="AC1474" s="8"/>
      <c r="AD1474" s="14"/>
      <c r="AE1474" s="8"/>
      <c r="AF1474" s="8"/>
      <c r="AG1474" s="8"/>
      <c r="AH1474" s="8"/>
    </row>
    <row r="1475" spans="6:34" x14ac:dyDescent="0.25">
      <c r="F1475" s="16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17"/>
      <c r="T1475" s="8"/>
      <c r="U1475" s="8"/>
      <c r="V1475" s="8"/>
      <c r="W1475" s="8"/>
      <c r="X1475" s="8"/>
      <c r="Y1475" s="8"/>
      <c r="Z1475" s="8"/>
      <c r="AA1475" s="8"/>
      <c r="AB1475" s="8"/>
      <c r="AC1475" s="8"/>
      <c r="AD1475" s="14"/>
      <c r="AE1475" s="8"/>
      <c r="AF1475" s="8"/>
      <c r="AG1475" s="8"/>
      <c r="AH1475" s="8"/>
    </row>
    <row r="1476" spans="6:34" x14ac:dyDescent="0.25">
      <c r="F1476" s="16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17"/>
      <c r="T1476" s="8"/>
      <c r="U1476" s="8"/>
      <c r="V1476" s="8"/>
      <c r="W1476" s="8"/>
      <c r="X1476" s="8"/>
      <c r="Y1476" s="8"/>
      <c r="Z1476" s="8"/>
      <c r="AA1476" s="8"/>
      <c r="AB1476" s="8"/>
      <c r="AC1476" s="8"/>
      <c r="AD1476" s="14"/>
      <c r="AE1476" s="8"/>
      <c r="AF1476" s="8"/>
      <c r="AG1476" s="8"/>
      <c r="AH1476" s="8"/>
    </row>
    <row r="1477" spans="6:34" x14ac:dyDescent="0.25">
      <c r="F1477" s="16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17"/>
      <c r="T1477" s="8"/>
      <c r="U1477" s="8"/>
      <c r="V1477" s="8"/>
      <c r="W1477" s="8"/>
      <c r="X1477" s="8"/>
      <c r="Y1477" s="8"/>
      <c r="Z1477" s="8"/>
      <c r="AA1477" s="8"/>
      <c r="AB1477" s="8"/>
      <c r="AC1477" s="8"/>
      <c r="AD1477" s="14"/>
      <c r="AE1477" s="8"/>
      <c r="AF1477" s="8"/>
      <c r="AG1477" s="8"/>
      <c r="AH1477" s="8"/>
    </row>
    <row r="1478" spans="6:34" x14ac:dyDescent="0.25">
      <c r="F1478" s="16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17"/>
      <c r="T1478" s="8"/>
      <c r="U1478" s="8"/>
      <c r="V1478" s="8"/>
      <c r="W1478" s="8"/>
      <c r="X1478" s="8"/>
      <c r="Y1478" s="8"/>
      <c r="Z1478" s="8"/>
      <c r="AA1478" s="8"/>
      <c r="AB1478" s="8"/>
      <c r="AC1478" s="8"/>
      <c r="AD1478" s="14"/>
      <c r="AE1478" s="8"/>
      <c r="AF1478" s="8"/>
      <c r="AG1478" s="8"/>
      <c r="AH1478" s="8"/>
    </row>
    <row r="1479" spans="6:34" x14ac:dyDescent="0.25">
      <c r="F1479" s="16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17"/>
      <c r="T1479" s="8"/>
      <c r="U1479" s="8"/>
      <c r="V1479" s="8"/>
      <c r="W1479" s="8"/>
      <c r="X1479" s="8"/>
      <c r="Y1479" s="8"/>
      <c r="Z1479" s="8"/>
      <c r="AA1479" s="8"/>
      <c r="AB1479" s="8"/>
      <c r="AC1479" s="8"/>
      <c r="AD1479" s="14"/>
      <c r="AE1479" s="8"/>
      <c r="AF1479" s="8"/>
      <c r="AG1479" s="8"/>
      <c r="AH1479" s="8"/>
    </row>
    <row r="1480" spans="6:34" x14ac:dyDescent="0.25">
      <c r="F1480" s="16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17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  <c r="AD1480" s="14"/>
      <c r="AE1480" s="8"/>
      <c r="AF1480" s="8"/>
      <c r="AG1480" s="8"/>
      <c r="AH1480" s="8"/>
    </row>
    <row r="1481" spans="6:34" x14ac:dyDescent="0.25">
      <c r="F1481" s="16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17"/>
      <c r="T1481" s="8"/>
      <c r="U1481" s="8"/>
      <c r="V1481" s="8"/>
      <c r="W1481" s="8"/>
      <c r="X1481" s="8"/>
      <c r="Y1481" s="8"/>
      <c r="Z1481" s="8"/>
      <c r="AA1481" s="8"/>
      <c r="AB1481" s="8"/>
      <c r="AC1481" s="8"/>
      <c r="AD1481" s="14"/>
      <c r="AE1481" s="8"/>
      <c r="AF1481" s="8"/>
      <c r="AG1481" s="8"/>
      <c r="AH1481" s="8"/>
    </row>
    <row r="1482" spans="6:34" x14ac:dyDescent="0.25">
      <c r="F1482" s="16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17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14"/>
      <c r="AE1482" s="8"/>
      <c r="AF1482" s="8"/>
      <c r="AG1482" s="8"/>
      <c r="AH1482" s="8"/>
    </row>
    <row r="1483" spans="6:34" x14ac:dyDescent="0.25">
      <c r="F1483" s="16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17"/>
      <c r="T1483" s="8"/>
      <c r="U1483" s="8"/>
      <c r="V1483" s="8"/>
      <c r="W1483" s="8"/>
      <c r="X1483" s="8"/>
      <c r="Y1483" s="8"/>
      <c r="Z1483" s="8"/>
      <c r="AA1483" s="8"/>
      <c r="AB1483" s="8"/>
      <c r="AC1483" s="8"/>
      <c r="AD1483" s="14"/>
      <c r="AE1483" s="8"/>
      <c r="AF1483" s="8"/>
      <c r="AG1483" s="8"/>
      <c r="AH1483" s="8"/>
    </row>
    <row r="1484" spans="6:34" x14ac:dyDescent="0.25">
      <c r="F1484" s="16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17"/>
      <c r="T1484" s="8"/>
      <c r="U1484" s="8"/>
      <c r="V1484" s="8"/>
      <c r="W1484" s="8"/>
      <c r="X1484" s="8"/>
      <c r="Y1484" s="8"/>
      <c r="Z1484" s="8"/>
      <c r="AA1484" s="8"/>
      <c r="AB1484" s="8"/>
      <c r="AC1484" s="8"/>
      <c r="AD1484" s="14"/>
      <c r="AE1484" s="8"/>
      <c r="AF1484" s="8"/>
      <c r="AG1484" s="8"/>
      <c r="AH1484" s="8"/>
    </row>
    <row r="1485" spans="6:34" x14ac:dyDescent="0.25">
      <c r="F1485" s="16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17"/>
      <c r="T1485" s="8"/>
      <c r="U1485" s="8"/>
      <c r="V1485" s="8"/>
      <c r="W1485" s="8"/>
      <c r="X1485" s="8"/>
      <c r="Y1485" s="8"/>
      <c r="Z1485" s="8"/>
      <c r="AA1485" s="8"/>
      <c r="AB1485" s="8"/>
      <c r="AC1485" s="8"/>
      <c r="AD1485" s="14"/>
      <c r="AE1485" s="8"/>
      <c r="AF1485" s="8"/>
      <c r="AG1485" s="8"/>
      <c r="AH1485" s="8"/>
    </row>
    <row r="1486" spans="6:34" x14ac:dyDescent="0.25">
      <c r="F1486" s="16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17"/>
      <c r="T1486" s="8"/>
      <c r="U1486" s="8"/>
      <c r="V1486" s="8"/>
      <c r="W1486" s="8"/>
      <c r="X1486" s="8"/>
      <c r="Y1486" s="8"/>
      <c r="Z1486" s="8"/>
      <c r="AA1486" s="8"/>
      <c r="AB1486" s="8"/>
      <c r="AC1486" s="8"/>
      <c r="AD1486" s="14"/>
      <c r="AE1486" s="8"/>
      <c r="AF1486" s="8"/>
      <c r="AG1486" s="8"/>
      <c r="AH1486" s="8"/>
    </row>
    <row r="1487" spans="6:34" x14ac:dyDescent="0.25">
      <c r="F1487" s="16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17"/>
      <c r="T1487" s="8"/>
      <c r="U1487" s="8"/>
      <c r="V1487" s="8"/>
      <c r="W1487" s="8"/>
      <c r="X1487" s="8"/>
      <c r="Y1487" s="8"/>
      <c r="Z1487" s="8"/>
      <c r="AA1487" s="8"/>
      <c r="AB1487" s="8"/>
      <c r="AC1487" s="8"/>
      <c r="AD1487" s="14"/>
      <c r="AE1487" s="8"/>
      <c r="AF1487" s="8"/>
      <c r="AG1487" s="8"/>
      <c r="AH1487" s="8"/>
    </row>
    <row r="1488" spans="6:34" x14ac:dyDescent="0.25">
      <c r="F1488" s="16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17"/>
      <c r="T1488" s="8"/>
      <c r="U1488" s="8"/>
      <c r="V1488" s="8"/>
      <c r="W1488" s="8"/>
      <c r="X1488" s="8"/>
      <c r="Y1488" s="8"/>
      <c r="Z1488" s="8"/>
      <c r="AA1488" s="8"/>
      <c r="AB1488" s="8"/>
      <c r="AC1488" s="8"/>
      <c r="AD1488" s="14"/>
      <c r="AE1488" s="8"/>
      <c r="AF1488" s="8"/>
      <c r="AG1488" s="8"/>
      <c r="AH1488" s="8"/>
    </row>
    <row r="1489" spans="6:34" x14ac:dyDescent="0.25">
      <c r="F1489" s="16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17"/>
      <c r="T1489" s="8"/>
      <c r="U1489" s="8"/>
      <c r="V1489" s="8"/>
      <c r="W1489" s="8"/>
      <c r="X1489" s="8"/>
      <c r="Y1489" s="8"/>
      <c r="Z1489" s="8"/>
      <c r="AA1489" s="8"/>
      <c r="AB1489" s="8"/>
      <c r="AC1489" s="8"/>
      <c r="AD1489" s="14"/>
      <c r="AE1489" s="8"/>
      <c r="AF1489" s="8"/>
      <c r="AG1489" s="8"/>
      <c r="AH1489" s="8"/>
    </row>
    <row r="1490" spans="6:34" x14ac:dyDescent="0.25">
      <c r="F1490" s="16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17"/>
      <c r="T1490" s="8"/>
      <c r="U1490" s="8"/>
      <c r="V1490" s="8"/>
      <c r="W1490" s="8"/>
      <c r="X1490" s="8"/>
      <c r="Y1490" s="8"/>
      <c r="Z1490" s="8"/>
      <c r="AA1490" s="8"/>
      <c r="AB1490" s="8"/>
      <c r="AC1490" s="8"/>
      <c r="AD1490" s="14"/>
      <c r="AE1490" s="8"/>
      <c r="AF1490" s="8"/>
      <c r="AG1490" s="8"/>
      <c r="AH1490" s="8"/>
    </row>
    <row r="1491" spans="6:34" x14ac:dyDescent="0.25">
      <c r="F1491" s="16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17"/>
      <c r="T1491" s="8"/>
      <c r="U1491" s="8"/>
      <c r="V1491" s="8"/>
      <c r="W1491" s="8"/>
      <c r="X1491" s="8"/>
      <c r="Y1491" s="8"/>
      <c r="Z1491" s="8"/>
      <c r="AA1491" s="8"/>
      <c r="AB1491" s="8"/>
      <c r="AC1491" s="8"/>
      <c r="AD1491" s="14"/>
      <c r="AE1491" s="8"/>
      <c r="AF1491" s="8"/>
      <c r="AG1491" s="8"/>
      <c r="AH1491" s="8"/>
    </row>
    <row r="1492" spans="6:34" x14ac:dyDescent="0.25">
      <c r="F1492" s="16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17"/>
      <c r="T1492" s="8"/>
      <c r="U1492" s="8"/>
      <c r="V1492" s="8"/>
      <c r="W1492" s="8"/>
      <c r="X1492" s="8"/>
      <c r="Y1492" s="8"/>
      <c r="Z1492" s="8"/>
      <c r="AA1492" s="8"/>
      <c r="AB1492" s="8"/>
      <c r="AC1492" s="8"/>
      <c r="AD1492" s="14"/>
      <c r="AE1492" s="8"/>
      <c r="AF1492" s="8"/>
      <c r="AG1492" s="8"/>
      <c r="AH1492" s="8"/>
    </row>
    <row r="1493" spans="6:34" x14ac:dyDescent="0.25">
      <c r="F1493" s="16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17"/>
      <c r="T1493" s="8"/>
      <c r="U1493" s="8"/>
      <c r="V1493" s="8"/>
      <c r="W1493" s="8"/>
      <c r="X1493" s="8"/>
      <c r="Y1493" s="8"/>
      <c r="Z1493" s="8"/>
      <c r="AA1493" s="8"/>
      <c r="AB1493" s="8"/>
      <c r="AC1493" s="8"/>
      <c r="AD1493" s="14"/>
      <c r="AE1493" s="8"/>
      <c r="AF1493" s="8"/>
      <c r="AG1493" s="8"/>
      <c r="AH1493" s="8"/>
    </row>
    <row r="1494" spans="6:34" x14ac:dyDescent="0.25">
      <c r="F1494" s="16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17"/>
      <c r="T1494" s="8"/>
      <c r="U1494" s="8"/>
      <c r="V1494" s="8"/>
      <c r="W1494" s="8"/>
      <c r="X1494" s="8"/>
      <c r="Y1494" s="8"/>
      <c r="Z1494" s="8"/>
      <c r="AA1494" s="8"/>
      <c r="AB1494" s="8"/>
      <c r="AC1494" s="8"/>
      <c r="AD1494" s="14"/>
      <c r="AE1494" s="8"/>
      <c r="AF1494" s="8"/>
      <c r="AG1494" s="8"/>
      <c r="AH1494" s="8"/>
    </row>
    <row r="1495" spans="6:34" x14ac:dyDescent="0.25">
      <c r="F1495" s="16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17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  <c r="AD1495" s="14"/>
      <c r="AE1495" s="8"/>
      <c r="AF1495" s="8"/>
      <c r="AG1495" s="8"/>
      <c r="AH1495" s="8"/>
    </row>
    <row r="1496" spans="6:34" x14ac:dyDescent="0.25">
      <c r="F1496" s="16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17"/>
      <c r="T1496" s="8"/>
      <c r="U1496" s="8"/>
      <c r="V1496" s="8"/>
      <c r="W1496" s="8"/>
      <c r="X1496" s="8"/>
      <c r="Y1496" s="8"/>
      <c r="Z1496" s="8"/>
      <c r="AA1496" s="8"/>
      <c r="AB1496" s="8"/>
      <c r="AC1496" s="8"/>
      <c r="AD1496" s="14"/>
      <c r="AE1496" s="8"/>
      <c r="AF1496" s="8"/>
      <c r="AG1496" s="8"/>
      <c r="AH1496" s="8"/>
    </row>
    <row r="1497" spans="6:34" x14ac:dyDescent="0.25">
      <c r="F1497" s="16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17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14"/>
      <c r="AE1497" s="8"/>
      <c r="AF1497" s="8"/>
      <c r="AG1497" s="8"/>
      <c r="AH1497" s="8"/>
    </row>
    <row r="1498" spans="6:34" x14ac:dyDescent="0.25">
      <c r="F1498" s="16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17"/>
      <c r="T1498" s="8"/>
      <c r="U1498" s="8"/>
      <c r="V1498" s="8"/>
      <c r="W1498" s="8"/>
      <c r="X1498" s="8"/>
      <c r="Y1498" s="8"/>
      <c r="Z1498" s="8"/>
      <c r="AA1498" s="8"/>
      <c r="AB1498" s="8"/>
      <c r="AC1498" s="8"/>
      <c r="AD1498" s="14"/>
      <c r="AE1498" s="8"/>
      <c r="AF1498" s="8"/>
      <c r="AG1498" s="8"/>
      <c r="AH1498" s="8"/>
    </row>
    <row r="1499" spans="6:34" x14ac:dyDescent="0.25">
      <c r="F1499" s="16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17"/>
      <c r="T1499" s="8"/>
      <c r="U1499" s="8"/>
      <c r="V1499" s="8"/>
      <c r="W1499" s="8"/>
      <c r="X1499" s="8"/>
      <c r="Y1499" s="8"/>
      <c r="Z1499" s="8"/>
      <c r="AA1499" s="8"/>
      <c r="AB1499" s="8"/>
      <c r="AC1499" s="8"/>
      <c r="AD1499" s="14"/>
      <c r="AE1499" s="8"/>
      <c r="AF1499" s="8"/>
      <c r="AG1499" s="8"/>
      <c r="AH1499" s="8"/>
    </row>
    <row r="1500" spans="6:34" x14ac:dyDescent="0.25">
      <c r="F1500" s="16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17"/>
      <c r="T1500" s="8"/>
      <c r="U1500" s="8"/>
      <c r="V1500" s="8"/>
      <c r="W1500" s="8"/>
      <c r="X1500" s="8"/>
      <c r="Y1500" s="8"/>
      <c r="Z1500" s="8"/>
      <c r="AA1500" s="8"/>
      <c r="AB1500" s="8"/>
      <c r="AC1500" s="8"/>
      <c r="AD1500" s="14"/>
      <c r="AE1500" s="8"/>
      <c r="AF1500" s="8"/>
      <c r="AG1500" s="8"/>
      <c r="AH1500" s="8"/>
    </row>
    <row r="1501" spans="6:34" x14ac:dyDescent="0.25">
      <c r="F1501" s="16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17"/>
      <c r="T1501" s="8"/>
      <c r="U1501" s="8"/>
      <c r="V1501" s="8"/>
      <c r="W1501" s="8"/>
      <c r="X1501" s="8"/>
      <c r="Y1501" s="8"/>
      <c r="Z1501" s="8"/>
      <c r="AA1501" s="8"/>
      <c r="AB1501" s="8"/>
      <c r="AC1501" s="8"/>
      <c r="AD1501" s="14"/>
      <c r="AE1501" s="8"/>
      <c r="AF1501" s="8"/>
      <c r="AG1501" s="8"/>
      <c r="AH1501" s="8"/>
    </row>
    <row r="1502" spans="6:34" x14ac:dyDescent="0.25">
      <c r="F1502" s="16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17"/>
      <c r="T1502" s="8"/>
      <c r="U1502" s="8"/>
      <c r="V1502" s="8"/>
      <c r="W1502" s="8"/>
      <c r="X1502" s="8"/>
      <c r="Y1502" s="8"/>
      <c r="Z1502" s="8"/>
      <c r="AA1502" s="8"/>
      <c r="AB1502" s="8"/>
      <c r="AC1502" s="8"/>
      <c r="AD1502" s="14"/>
      <c r="AE1502" s="8"/>
      <c r="AF1502" s="8"/>
      <c r="AG1502" s="8"/>
      <c r="AH1502" s="8"/>
    </row>
    <row r="1503" spans="6:34" x14ac:dyDescent="0.25">
      <c r="F1503" s="16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17"/>
      <c r="T1503" s="8"/>
      <c r="U1503" s="8"/>
      <c r="V1503" s="8"/>
      <c r="W1503" s="8"/>
      <c r="X1503" s="8"/>
      <c r="Y1503" s="8"/>
      <c r="Z1503" s="8"/>
      <c r="AA1503" s="8"/>
      <c r="AB1503" s="8"/>
      <c r="AC1503" s="8"/>
      <c r="AD1503" s="14"/>
      <c r="AE1503" s="8"/>
      <c r="AF1503" s="8"/>
      <c r="AG1503" s="8"/>
      <c r="AH1503" s="8"/>
    </row>
    <row r="1504" spans="6:34" x14ac:dyDescent="0.25">
      <c r="F1504" s="16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17"/>
      <c r="T1504" s="8"/>
      <c r="U1504" s="8"/>
      <c r="V1504" s="8"/>
      <c r="W1504" s="8"/>
      <c r="X1504" s="8"/>
      <c r="Y1504" s="8"/>
      <c r="Z1504" s="8"/>
      <c r="AA1504" s="8"/>
      <c r="AB1504" s="8"/>
      <c r="AC1504" s="8"/>
      <c r="AD1504" s="14"/>
      <c r="AE1504" s="8"/>
      <c r="AF1504" s="8"/>
      <c r="AG1504" s="8"/>
      <c r="AH1504" s="8"/>
    </row>
    <row r="1505" spans="6:34" x14ac:dyDescent="0.25">
      <c r="F1505" s="16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17"/>
      <c r="T1505" s="8"/>
      <c r="U1505" s="8"/>
      <c r="V1505" s="8"/>
      <c r="W1505" s="8"/>
      <c r="X1505" s="8"/>
      <c r="Y1505" s="8"/>
      <c r="Z1505" s="8"/>
      <c r="AA1505" s="8"/>
      <c r="AB1505" s="8"/>
      <c r="AC1505" s="8"/>
      <c r="AD1505" s="14"/>
      <c r="AE1505" s="8"/>
      <c r="AF1505" s="8"/>
      <c r="AG1505" s="8"/>
      <c r="AH1505" s="8"/>
    </row>
    <row r="1506" spans="6:34" x14ac:dyDescent="0.25">
      <c r="F1506" s="16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17"/>
      <c r="T1506" s="8"/>
      <c r="U1506" s="8"/>
      <c r="V1506" s="8"/>
      <c r="W1506" s="8"/>
      <c r="X1506" s="8"/>
      <c r="Y1506" s="8"/>
      <c r="Z1506" s="8"/>
      <c r="AA1506" s="8"/>
      <c r="AB1506" s="8"/>
      <c r="AC1506" s="8"/>
      <c r="AD1506" s="14"/>
      <c r="AE1506" s="8"/>
      <c r="AF1506" s="8"/>
      <c r="AG1506" s="8"/>
      <c r="AH1506" s="8"/>
    </row>
    <row r="1507" spans="6:34" x14ac:dyDescent="0.25">
      <c r="F1507" s="16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17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14"/>
      <c r="AE1507" s="8"/>
      <c r="AF1507" s="8"/>
      <c r="AG1507" s="8"/>
      <c r="AH1507" s="8"/>
    </row>
    <row r="1508" spans="6:34" x14ac:dyDescent="0.25">
      <c r="F1508" s="16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17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14"/>
      <c r="AE1508" s="8"/>
      <c r="AF1508" s="8"/>
      <c r="AG1508" s="8"/>
      <c r="AH1508" s="8"/>
    </row>
    <row r="1509" spans="6:34" x14ac:dyDescent="0.25">
      <c r="F1509" s="16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17"/>
      <c r="T1509" s="8"/>
      <c r="U1509" s="8"/>
      <c r="V1509" s="8"/>
      <c r="W1509" s="8"/>
      <c r="X1509" s="8"/>
      <c r="Y1509" s="8"/>
      <c r="Z1509" s="8"/>
      <c r="AA1509" s="8"/>
      <c r="AB1509" s="8"/>
      <c r="AC1509" s="8"/>
      <c r="AD1509" s="14"/>
      <c r="AE1509" s="8"/>
      <c r="AF1509" s="8"/>
      <c r="AG1509" s="8"/>
      <c r="AH1509" s="8"/>
    </row>
    <row r="1510" spans="6:34" x14ac:dyDescent="0.25">
      <c r="F1510" s="16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17"/>
      <c r="T1510" s="8"/>
      <c r="U1510" s="8"/>
      <c r="V1510" s="8"/>
      <c r="W1510" s="8"/>
      <c r="X1510" s="8"/>
      <c r="Y1510" s="8"/>
      <c r="Z1510" s="8"/>
      <c r="AA1510" s="8"/>
      <c r="AB1510" s="8"/>
      <c r="AC1510" s="8"/>
      <c r="AD1510" s="14"/>
      <c r="AE1510" s="8"/>
      <c r="AF1510" s="8"/>
      <c r="AG1510" s="8"/>
      <c r="AH1510" s="8"/>
    </row>
    <row r="1511" spans="6:34" x14ac:dyDescent="0.25">
      <c r="F1511" s="16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17"/>
      <c r="T1511" s="8"/>
      <c r="U1511" s="8"/>
      <c r="V1511" s="8"/>
      <c r="W1511" s="8"/>
      <c r="X1511" s="8"/>
      <c r="Y1511" s="8"/>
      <c r="Z1511" s="8"/>
      <c r="AA1511" s="8"/>
      <c r="AB1511" s="8"/>
      <c r="AC1511" s="8"/>
      <c r="AD1511" s="14"/>
      <c r="AE1511" s="8"/>
      <c r="AF1511" s="8"/>
      <c r="AG1511" s="8"/>
      <c r="AH1511" s="8"/>
    </row>
    <row r="1512" spans="6:34" x14ac:dyDescent="0.25">
      <c r="F1512" s="16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17"/>
      <c r="T1512" s="8"/>
      <c r="U1512" s="8"/>
      <c r="V1512" s="8"/>
      <c r="W1512" s="8"/>
      <c r="X1512" s="8"/>
      <c r="Y1512" s="8"/>
      <c r="Z1512" s="8"/>
      <c r="AA1512" s="8"/>
      <c r="AB1512" s="8"/>
      <c r="AC1512" s="8"/>
      <c r="AD1512" s="14"/>
      <c r="AE1512" s="8"/>
      <c r="AF1512" s="8"/>
      <c r="AG1512" s="8"/>
      <c r="AH1512" s="8"/>
    </row>
    <row r="1513" spans="6:34" x14ac:dyDescent="0.25">
      <c r="F1513" s="16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17"/>
      <c r="T1513" s="8"/>
      <c r="U1513" s="8"/>
      <c r="V1513" s="8"/>
      <c r="W1513" s="8"/>
      <c r="X1513" s="8"/>
      <c r="Y1513" s="8"/>
      <c r="Z1513" s="8"/>
      <c r="AA1513" s="8"/>
      <c r="AB1513" s="8"/>
      <c r="AC1513" s="8"/>
      <c r="AD1513" s="14"/>
      <c r="AE1513" s="8"/>
      <c r="AF1513" s="8"/>
      <c r="AG1513" s="8"/>
      <c r="AH1513" s="8"/>
    </row>
    <row r="1514" spans="6:34" x14ac:dyDescent="0.25">
      <c r="F1514" s="16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17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14"/>
      <c r="AE1514" s="8"/>
      <c r="AF1514" s="8"/>
      <c r="AG1514" s="8"/>
      <c r="AH1514" s="8"/>
    </row>
    <row r="1515" spans="6:34" x14ac:dyDescent="0.25">
      <c r="F1515" s="16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17"/>
      <c r="T1515" s="8"/>
      <c r="U1515" s="8"/>
      <c r="V1515" s="8"/>
      <c r="W1515" s="8"/>
      <c r="X1515" s="8"/>
      <c r="Y1515" s="8"/>
      <c r="Z1515" s="8"/>
      <c r="AA1515" s="8"/>
      <c r="AB1515" s="8"/>
      <c r="AC1515" s="8"/>
      <c r="AD1515" s="14"/>
      <c r="AE1515" s="8"/>
      <c r="AF1515" s="8"/>
      <c r="AG1515" s="8"/>
      <c r="AH1515" s="8"/>
    </row>
    <row r="1516" spans="6:34" x14ac:dyDescent="0.25">
      <c r="F1516" s="16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17"/>
      <c r="T1516" s="8"/>
      <c r="U1516" s="8"/>
      <c r="V1516" s="8"/>
      <c r="W1516" s="8"/>
      <c r="X1516" s="8"/>
      <c r="Y1516" s="8"/>
      <c r="Z1516" s="8"/>
      <c r="AA1516" s="8"/>
      <c r="AB1516" s="8"/>
      <c r="AC1516" s="8"/>
      <c r="AD1516" s="14"/>
      <c r="AE1516" s="8"/>
      <c r="AF1516" s="8"/>
      <c r="AG1516" s="8"/>
      <c r="AH1516" s="8"/>
    </row>
    <row r="1517" spans="6:34" x14ac:dyDescent="0.25">
      <c r="F1517" s="16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17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  <c r="AD1517" s="14"/>
      <c r="AE1517" s="8"/>
      <c r="AF1517" s="8"/>
      <c r="AG1517" s="8"/>
      <c r="AH1517" s="8"/>
    </row>
    <row r="1518" spans="6:34" x14ac:dyDescent="0.25">
      <c r="F1518" s="16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17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14"/>
      <c r="AE1518" s="8"/>
      <c r="AF1518" s="8"/>
      <c r="AG1518" s="8"/>
      <c r="AH1518" s="8"/>
    </row>
    <row r="1519" spans="6:34" x14ac:dyDescent="0.25">
      <c r="F1519" s="16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17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14"/>
      <c r="AE1519" s="8"/>
      <c r="AF1519" s="8"/>
      <c r="AG1519" s="8"/>
      <c r="AH1519" s="8"/>
    </row>
    <row r="1520" spans="6:34" x14ac:dyDescent="0.25">
      <c r="F1520" s="16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17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14"/>
      <c r="AE1520" s="8"/>
      <c r="AF1520" s="8"/>
      <c r="AG1520" s="8"/>
      <c r="AH1520" s="8"/>
    </row>
    <row r="1521" spans="6:34" x14ac:dyDescent="0.25">
      <c r="F1521" s="16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17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14"/>
      <c r="AE1521" s="8"/>
      <c r="AF1521" s="8"/>
      <c r="AG1521" s="8"/>
      <c r="AH1521" s="8"/>
    </row>
    <row r="1522" spans="6:34" x14ac:dyDescent="0.25">
      <c r="F1522" s="16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17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14"/>
      <c r="AE1522" s="8"/>
      <c r="AF1522" s="8"/>
      <c r="AG1522" s="8"/>
      <c r="AH1522" s="8"/>
    </row>
    <row r="1523" spans="6:34" x14ac:dyDescent="0.25">
      <c r="F1523" s="16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17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14"/>
      <c r="AE1523" s="8"/>
      <c r="AF1523" s="8"/>
      <c r="AG1523" s="8"/>
      <c r="AH1523" s="8"/>
    </row>
    <row r="1524" spans="6:34" x14ac:dyDescent="0.25">
      <c r="F1524" s="16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17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14"/>
      <c r="AE1524" s="8"/>
      <c r="AF1524" s="8"/>
      <c r="AG1524" s="8"/>
      <c r="AH1524" s="8"/>
    </row>
    <row r="1525" spans="6:34" x14ac:dyDescent="0.25">
      <c r="F1525" s="16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17"/>
      <c r="T1525" s="8"/>
      <c r="U1525" s="8"/>
      <c r="V1525" s="8"/>
      <c r="W1525" s="8"/>
      <c r="X1525" s="8"/>
      <c r="Y1525" s="8"/>
      <c r="Z1525" s="8"/>
      <c r="AA1525" s="8"/>
      <c r="AB1525" s="8"/>
      <c r="AC1525" s="8"/>
      <c r="AD1525" s="14"/>
      <c r="AE1525" s="8"/>
      <c r="AF1525" s="8"/>
      <c r="AG1525" s="8"/>
      <c r="AH1525" s="8"/>
    </row>
    <row r="1526" spans="6:34" x14ac:dyDescent="0.25">
      <c r="F1526" s="16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17"/>
      <c r="T1526" s="8"/>
      <c r="U1526" s="8"/>
      <c r="V1526" s="8"/>
      <c r="W1526" s="8"/>
      <c r="X1526" s="8"/>
      <c r="Y1526" s="8"/>
      <c r="Z1526" s="8"/>
      <c r="AA1526" s="8"/>
      <c r="AB1526" s="8"/>
      <c r="AC1526" s="8"/>
      <c r="AD1526" s="14"/>
      <c r="AE1526" s="8"/>
      <c r="AF1526" s="8"/>
      <c r="AG1526" s="8"/>
      <c r="AH1526" s="8"/>
    </row>
    <row r="1527" spans="6:34" x14ac:dyDescent="0.25">
      <c r="F1527" s="16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17"/>
      <c r="T1527" s="8"/>
      <c r="U1527" s="8"/>
      <c r="V1527" s="8"/>
      <c r="W1527" s="8"/>
      <c r="X1527" s="8"/>
      <c r="Y1527" s="8"/>
      <c r="Z1527" s="8"/>
      <c r="AA1527" s="8"/>
      <c r="AB1527" s="8"/>
      <c r="AC1527" s="8"/>
      <c r="AD1527" s="14"/>
      <c r="AE1527" s="8"/>
      <c r="AF1527" s="8"/>
      <c r="AG1527" s="8"/>
      <c r="AH1527" s="8"/>
    </row>
    <row r="1528" spans="6:34" x14ac:dyDescent="0.25">
      <c r="F1528" s="16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17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14"/>
      <c r="AE1528" s="8"/>
      <c r="AF1528" s="8"/>
      <c r="AG1528" s="8"/>
      <c r="AH1528" s="8"/>
    </row>
    <row r="1529" spans="6:34" x14ac:dyDescent="0.25">
      <c r="F1529" s="16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17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14"/>
      <c r="AE1529" s="8"/>
      <c r="AF1529" s="8"/>
      <c r="AG1529" s="8"/>
      <c r="AH1529" s="8"/>
    </row>
    <row r="1530" spans="6:34" x14ac:dyDescent="0.25">
      <c r="F1530" s="16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17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14"/>
      <c r="AE1530" s="8"/>
      <c r="AF1530" s="8"/>
      <c r="AG1530" s="8"/>
      <c r="AH1530" s="8"/>
    </row>
    <row r="1531" spans="6:34" x14ac:dyDescent="0.25">
      <c r="F1531" s="16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17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14"/>
      <c r="AE1531" s="8"/>
      <c r="AF1531" s="8"/>
      <c r="AG1531" s="8"/>
      <c r="AH1531" s="8"/>
    </row>
    <row r="1532" spans="6:34" x14ac:dyDescent="0.25">
      <c r="F1532" s="16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17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14"/>
      <c r="AE1532" s="8"/>
      <c r="AF1532" s="8"/>
      <c r="AG1532" s="8"/>
      <c r="AH1532" s="8"/>
    </row>
    <row r="1533" spans="6:34" x14ac:dyDescent="0.25">
      <c r="F1533" s="16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17"/>
      <c r="T1533" s="8"/>
      <c r="U1533" s="8"/>
      <c r="V1533" s="8"/>
      <c r="W1533" s="8"/>
      <c r="X1533" s="8"/>
      <c r="Y1533" s="8"/>
      <c r="Z1533" s="8"/>
      <c r="AA1533" s="8"/>
      <c r="AB1533" s="8"/>
      <c r="AC1533" s="8"/>
      <c r="AD1533" s="14"/>
      <c r="AE1533" s="8"/>
      <c r="AF1533" s="8"/>
      <c r="AG1533" s="8"/>
      <c r="AH1533" s="8"/>
    </row>
    <row r="1534" spans="6:34" x14ac:dyDescent="0.25">
      <c r="F1534" s="16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17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14"/>
      <c r="AE1534" s="8"/>
      <c r="AF1534" s="8"/>
      <c r="AG1534" s="8"/>
      <c r="AH1534" s="8"/>
    </row>
    <row r="1535" spans="6:34" x14ac:dyDescent="0.25">
      <c r="F1535" s="16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17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14"/>
      <c r="AE1535" s="8"/>
      <c r="AF1535" s="8"/>
      <c r="AG1535" s="8"/>
      <c r="AH1535" s="8"/>
    </row>
    <row r="1536" spans="6:34" x14ac:dyDescent="0.25">
      <c r="F1536" s="16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17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14"/>
      <c r="AE1536" s="8"/>
      <c r="AF1536" s="8"/>
      <c r="AG1536" s="8"/>
      <c r="AH1536" s="8"/>
    </row>
    <row r="1537" spans="6:34" x14ac:dyDescent="0.25">
      <c r="F1537" s="16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17"/>
      <c r="T1537" s="8"/>
      <c r="U1537" s="8"/>
      <c r="V1537" s="8"/>
      <c r="W1537" s="8"/>
      <c r="X1537" s="8"/>
      <c r="Y1537" s="8"/>
      <c r="Z1537" s="8"/>
      <c r="AA1537" s="8"/>
      <c r="AB1537" s="8"/>
      <c r="AC1537" s="8"/>
      <c r="AD1537" s="14"/>
      <c r="AE1537" s="8"/>
      <c r="AF1537" s="8"/>
      <c r="AG1537" s="8"/>
      <c r="AH1537" s="8"/>
    </row>
    <row r="1538" spans="6:34" x14ac:dyDescent="0.25">
      <c r="F1538" s="16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17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  <c r="AD1538" s="14"/>
      <c r="AE1538" s="8"/>
      <c r="AF1538" s="8"/>
      <c r="AG1538" s="8"/>
      <c r="AH1538" s="8"/>
    </row>
    <row r="1539" spans="6:34" x14ac:dyDescent="0.25">
      <c r="F1539" s="16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17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14"/>
      <c r="AE1539" s="8"/>
      <c r="AF1539" s="8"/>
      <c r="AG1539" s="8"/>
      <c r="AH1539" s="8"/>
    </row>
    <row r="1540" spans="6:34" x14ac:dyDescent="0.25">
      <c r="F1540" s="16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17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14"/>
      <c r="AE1540" s="8"/>
      <c r="AF1540" s="8"/>
      <c r="AG1540" s="8"/>
      <c r="AH1540" s="8"/>
    </row>
    <row r="1541" spans="6:34" x14ac:dyDescent="0.25">
      <c r="F1541" s="16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17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14"/>
      <c r="AE1541" s="8"/>
      <c r="AF1541" s="8"/>
      <c r="AG1541" s="8"/>
      <c r="AH1541" s="8"/>
    </row>
    <row r="1542" spans="6:34" x14ac:dyDescent="0.25">
      <c r="F1542" s="16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17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14"/>
      <c r="AE1542" s="8"/>
      <c r="AF1542" s="8"/>
      <c r="AG1542" s="8"/>
      <c r="AH1542" s="8"/>
    </row>
    <row r="1543" spans="6:34" x14ac:dyDescent="0.25">
      <c r="F1543" s="16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17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14"/>
      <c r="AE1543" s="8"/>
      <c r="AF1543" s="8"/>
      <c r="AG1543" s="8"/>
      <c r="AH1543" s="8"/>
    </row>
    <row r="1544" spans="6:34" x14ac:dyDescent="0.25">
      <c r="F1544" s="16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17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14"/>
      <c r="AE1544" s="8"/>
      <c r="AF1544" s="8"/>
      <c r="AG1544" s="8"/>
      <c r="AH1544" s="8"/>
    </row>
    <row r="1545" spans="6:34" x14ac:dyDescent="0.25">
      <c r="F1545" s="16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17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14"/>
      <c r="AE1545" s="8"/>
      <c r="AF1545" s="8"/>
      <c r="AG1545" s="8"/>
      <c r="AH1545" s="8"/>
    </row>
    <row r="1546" spans="6:34" x14ac:dyDescent="0.25">
      <c r="F1546" s="16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17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14"/>
      <c r="AE1546" s="8"/>
      <c r="AF1546" s="8"/>
      <c r="AG1546" s="8"/>
      <c r="AH1546" s="8"/>
    </row>
    <row r="1547" spans="6:34" x14ac:dyDescent="0.25">
      <c r="F1547" s="16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17"/>
      <c r="T1547" s="8"/>
      <c r="U1547" s="8"/>
      <c r="V1547" s="8"/>
      <c r="W1547" s="8"/>
      <c r="X1547" s="8"/>
      <c r="Y1547" s="8"/>
      <c r="Z1547" s="8"/>
      <c r="AA1547" s="8"/>
      <c r="AB1547" s="8"/>
      <c r="AC1547" s="8"/>
      <c r="AD1547" s="14"/>
      <c r="AE1547" s="8"/>
      <c r="AF1547" s="8"/>
      <c r="AG1547" s="8"/>
      <c r="AH1547" s="8"/>
    </row>
    <row r="1548" spans="6:34" x14ac:dyDescent="0.25">
      <c r="F1548" s="16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17"/>
      <c r="T1548" s="8"/>
      <c r="U1548" s="8"/>
      <c r="V1548" s="8"/>
      <c r="W1548" s="8"/>
      <c r="X1548" s="8"/>
      <c r="Y1548" s="8"/>
      <c r="Z1548" s="8"/>
      <c r="AA1548" s="8"/>
      <c r="AB1548" s="8"/>
      <c r="AC1548" s="8"/>
      <c r="AD1548" s="14"/>
      <c r="AE1548" s="8"/>
      <c r="AF1548" s="8"/>
      <c r="AG1548" s="8"/>
      <c r="AH1548" s="8"/>
    </row>
    <row r="1549" spans="6:34" x14ac:dyDescent="0.25">
      <c r="F1549" s="16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17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  <c r="AD1549" s="14"/>
      <c r="AE1549" s="8"/>
      <c r="AF1549" s="8"/>
      <c r="AG1549" s="8"/>
      <c r="AH1549" s="8"/>
    </row>
    <row r="1550" spans="6:34" x14ac:dyDescent="0.25">
      <c r="F1550" s="16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17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14"/>
      <c r="AE1550" s="8"/>
      <c r="AF1550" s="8"/>
      <c r="AG1550" s="8"/>
      <c r="AH1550" s="8"/>
    </row>
    <row r="1551" spans="6:34" x14ac:dyDescent="0.25">
      <c r="F1551" s="16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17"/>
      <c r="T1551" s="8"/>
      <c r="U1551" s="8"/>
      <c r="V1551" s="8"/>
      <c r="W1551" s="8"/>
      <c r="X1551" s="8"/>
      <c r="Y1551" s="8"/>
      <c r="Z1551" s="8"/>
      <c r="AA1551" s="8"/>
      <c r="AB1551" s="8"/>
      <c r="AC1551" s="8"/>
      <c r="AD1551" s="14"/>
      <c r="AE1551" s="8"/>
      <c r="AF1551" s="8"/>
      <c r="AG1551" s="8"/>
      <c r="AH1551" s="8"/>
    </row>
    <row r="1552" spans="6:34" x14ac:dyDescent="0.25">
      <c r="F1552" s="16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17"/>
      <c r="T1552" s="8"/>
      <c r="U1552" s="8"/>
      <c r="V1552" s="8"/>
      <c r="W1552" s="8"/>
      <c r="X1552" s="8"/>
      <c r="Y1552" s="8"/>
      <c r="Z1552" s="8"/>
      <c r="AA1552" s="8"/>
      <c r="AB1552" s="8"/>
      <c r="AC1552" s="8"/>
      <c r="AD1552" s="14"/>
      <c r="AE1552" s="8"/>
      <c r="AF1552" s="8"/>
      <c r="AG1552" s="8"/>
      <c r="AH1552" s="8"/>
    </row>
    <row r="1553" spans="6:34" x14ac:dyDescent="0.25">
      <c r="F1553" s="16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17"/>
      <c r="T1553" s="8"/>
      <c r="U1553" s="8"/>
      <c r="V1553" s="8"/>
      <c r="W1553" s="8"/>
      <c r="X1553" s="8"/>
      <c r="Y1553" s="8"/>
      <c r="Z1553" s="8"/>
      <c r="AA1553" s="8"/>
      <c r="AB1553" s="8"/>
      <c r="AC1553" s="8"/>
      <c r="AD1553" s="14"/>
      <c r="AE1553" s="8"/>
      <c r="AF1553" s="8"/>
      <c r="AG1553" s="8"/>
      <c r="AH1553" s="8"/>
    </row>
    <row r="1554" spans="6:34" x14ac:dyDescent="0.25">
      <c r="F1554" s="16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17"/>
      <c r="T1554" s="8"/>
      <c r="U1554" s="8"/>
      <c r="V1554" s="8"/>
      <c r="W1554" s="8"/>
      <c r="X1554" s="8"/>
      <c r="Y1554" s="8"/>
      <c r="Z1554" s="8"/>
      <c r="AA1554" s="8"/>
      <c r="AB1554" s="8"/>
      <c r="AC1554" s="8"/>
      <c r="AD1554" s="14"/>
      <c r="AE1554" s="8"/>
      <c r="AF1554" s="8"/>
      <c r="AG1554" s="8"/>
      <c r="AH1554" s="8"/>
    </row>
    <row r="1555" spans="6:34" x14ac:dyDescent="0.25">
      <c r="F1555" s="16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17"/>
      <c r="T1555" s="8"/>
      <c r="U1555" s="8"/>
      <c r="V1555" s="8"/>
      <c r="W1555" s="8"/>
      <c r="X1555" s="8"/>
      <c r="Y1555" s="8"/>
      <c r="Z1555" s="8"/>
      <c r="AA1555" s="8"/>
      <c r="AB1555" s="8"/>
      <c r="AC1555" s="8"/>
      <c r="AD1555" s="14"/>
      <c r="AE1555" s="8"/>
      <c r="AF1555" s="8"/>
      <c r="AG1555" s="8"/>
      <c r="AH1555" s="8"/>
    </row>
    <row r="1556" spans="6:34" x14ac:dyDescent="0.25">
      <c r="F1556" s="16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17"/>
      <c r="T1556" s="8"/>
      <c r="U1556" s="8"/>
      <c r="V1556" s="8"/>
      <c r="W1556" s="8"/>
      <c r="X1556" s="8"/>
      <c r="Y1556" s="8"/>
      <c r="Z1556" s="8"/>
      <c r="AA1556" s="8"/>
      <c r="AB1556" s="8"/>
      <c r="AC1556" s="8"/>
      <c r="AD1556" s="14"/>
      <c r="AE1556" s="8"/>
      <c r="AF1556" s="8"/>
      <c r="AG1556" s="8"/>
      <c r="AH1556" s="8"/>
    </row>
    <row r="1557" spans="6:34" x14ac:dyDescent="0.25">
      <c r="F1557" s="16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17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14"/>
      <c r="AE1557" s="8"/>
      <c r="AF1557" s="8"/>
      <c r="AG1557" s="8"/>
      <c r="AH1557" s="8"/>
    </row>
    <row r="1558" spans="6:34" x14ac:dyDescent="0.25">
      <c r="F1558" s="16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17"/>
      <c r="T1558" s="8"/>
      <c r="U1558" s="8"/>
      <c r="V1558" s="8"/>
      <c r="W1558" s="8"/>
      <c r="X1558" s="8"/>
      <c r="Y1558" s="8"/>
      <c r="Z1558" s="8"/>
      <c r="AA1558" s="8"/>
      <c r="AB1558" s="8"/>
      <c r="AC1558" s="8"/>
      <c r="AD1558" s="14"/>
      <c r="AE1558" s="8"/>
      <c r="AF1558" s="8"/>
      <c r="AG1558" s="8"/>
      <c r="AH1558" s="8"/>
    </row>
    <row r="1559" spans="6:34" x14ac:dyDescent="0.25">
      <c r="F1559" s="16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17"/>
      <c r="T1559" s="8"/>
      <c r="U1559" s="8"/>
      <c r="V1559" s="8"/>
      <c r="W1559" s="8"/>
      <c r="X1559" s="8"/>
      <c r="Y1559" s="8"/>
      <c r="Z1559" s="8"/>
      <c r="AA1559" s="8"/>
      <c r="AB1559" s="8"/>
      <c r="AC1559" s="8"/>
      <c r="AD1559" s="14"/>
      <c r="AE1559" s="8"/>
      <c r="AF1559" s="8"/>
      <c r="AG1559" s="8"/>
      <c r="AH1559" s="8"/>
    </row>
    <row r="1560" spans="6:34" x14ac:dyDescent="0.25">
      <c r="F1560" s="16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17"/>
      <c r="T1560" s="8"/>
      <c r="U1560" s="8"/>
      <c r="V1560" s="8"/>
      <c r="W1560" s="8"/>
      <c r="X1560" s="8"/>
      <c r="Y1560" s="8"/>
      <c r="Z1560" s="8"/>
      <c r="AA1560" s="8"/>
      <c r="AB1560" s="8"/>
      <c r="AC1560" s="8"/>
      <c r="AD1560" s="14"/>
      <c r="AE1560" s="8"/>
      <c r="AF1560" s="8"/>
      <c r="AG1560" s="8"/>
      <c r="AH1560" s="8"/>
    </row>
    <row r="1561" spans="6:34" x14ac:dyDescent="0.25">
      <c r="F1561" s="16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17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14"/>
      <c r="AE1561" s="8"/>
      <c r="AF1561" s="8"/>
      <c r="AG1561" s="8"/>
      <c r="AH1561" s="8"/>
    </row>
    <row r="1562" spans="6:34" x14ac:dyDescent="0.25">
      <c r="F1562" s="16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17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14"/>
      <c r="AE1562" s="8"/>
      <c r="AF1562" s="8"/>
      <c r="AG1562" s="8"/>
      <c r="AH1562" s="8"/>
    </row>
    <row r="1563" spans="6:34" x14ac:dyDescent="0.25">
      <c r="F1563" s="16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17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14"/>
      <c r="AE1563" s="8"/>
      <c r="AF1563" s="8"/>
      <c r="AG1563" s="8"/>
      <c r="AH1563" s="8"/>
    </row>
    <row r="1564" spans="6:34" x14ac:dyDescent="0.25">
      <c r="F1564" s="16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17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14"/>
      <c r="AE1564" s="8"/>
      <c r="AF1564" s="8"/>
      <c r="AG1564" s="8"/>
      <c r="AH1564" s="8"/>
    </row>
    <row r="1565" spans="6:34" x14ac:dyDescent="0.25">
      <c r="F1565" s="16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17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  <c r="AD1565" s="14"/>
      <c r="AE1565" s="8"/>
      <c r="AF1565" s="8"/>
      <c r="AG1565" s="8"/>
      <c r="AH1565" s="8"/>
    </row>
    <row r="1566" spans="6:34" x14ac:dyDescent="0.25">
      <c r="F1566" s="16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17"/>
      <c r="T1566" s="8"/>
      <c r="U1566" s="8"/>
      <c r="V1566" s="8"/>
      <c r="W1566" s="8"/>
      <c r="X1566" s="8"/>
      <c r="Y1566" s="8"/>
      <c r="Z1566" s="8"/>
      <c r="AA1566" s="8"/>
      <c r="AB1566" s="8"/>
      <c r="AC1566" s="8"/>
      <c r="AD1566" s="14"/>
      <c r="AE1566" s="8"/>
      <c r="AF1566" s="8"/>
      <c r="AG1566" s="8"/>
      <c r="AH1566" s="8"/>
    </row>
    <row r="1567" spans="6:34" x14ac:dyDescent="0.25">
      <c r="F1567" s="16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17"/>
      <c r="T1567" s="8"/>
      <c r="U1567" s="8"/>
      <c r="V1567" s="8"/>
      <c r="W1567" s="8"/>
      <c r="X1567" s="8"/>
      <c r="Y1567" s="8"/>
      <c r="Z1567" s="8"/>
      <c r="AA1567" s="8"/>
      <c r="AB1567" s="8"/>
      <c r="AC1567" s="8"/>
      <c r="AD1567" s="14"/>
      <c r="AE1567" s="8"/>
      <c r="AF1567" s="8"/>
      <c r="AG1567" s="8"/>
      <c r="AH1567" s="8"/>
    </row>
    <row r="1568" spans="6:34" x14ac:dyDescent="0.25">
      <c r="F1568" s="16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17"/>
      <c r="T1568" s="8"/>
      <c r="U1568" s="8"/>
      <c r="V1568" s="8"/>
      <c r="W1568" s="8"/>
      <c r="X1568" s="8"/>
      <c r="Y1568" s="8"/>
      <c r="Z1568" s="8"/>
      <c r="AA1568" s="8"/>
      <c r="AB1568" s="8"/>
      <c r="AC1568" s="8"/>
      <c r="AD1568" s="14"/>
      <c r="AE1568" s="8"/>
      <c r="AF1568" s="8"/>
      <c r="AG1568" s="8"/>
      <c r="AH1568" s="8"/>
    </row>
    <row r="1569" spans="6:34" x14ac:dyDescent="0.25">
      <c r="F1569" s="16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17"/>
      <c r="T1569" s="8"/>
      <c r="U1569" s="8"/>
      <c r="V1569" s="8"/>
      <c r="W1569" s="8"/>
      <c r="X1569" s="8"/>
      <c r="Y1569" s="8"/>
      <c r="Z1569" s="8"/>
      <c r="AA1569" s="8"/>
      <c r="AB1569" s="8"/>
      <c r="AC1569" s="8"/>
      <c r="AD1569" s="14"/>
      <c r="AE1569" s="8"/>
      <c r="AF1569" s="8"/>
      <c r="AG1569" s="8"/>
      <c r="AH1569" s="8"/>
    </row>
    <row r="1570" spans="6:34" x14ac:dyDescent="0.25">
      <c r="F1570" s="16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17"/>
      <c r="T1570" s="8"/>
      <c r="U1570" s="8"/>
      <c r="V1570" s="8"/>
      <c r="W1570" s="8"/>
      <c r="X1570" s="8"/>
      <c r="Y1570" s="8"/>
      <c r="Z1570" s="8"/>
      <c r="AA1570" s="8"/>
      <c r="AB1570" s="8"/>
      <c r="AC1570" s="8"/>
      <c r="AD1570" s="14"/>
      <c r="AE1570" s="8"/>
      <c r="AF1570" s="8"/>
      <c r="AG1570" s="8"/>
      <c r="AH1570" s="8"/>
    </row>
    <row r="1571" spans="6:34" x14ac:dyDescent="0.25">
      <c r="F1571" s="16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17"/>
      <c r="T1571" s="8"/>
      <c r="U1571" s="8"/>
      <c r="V1571" s="8"/>
      <c r="W1571" s="8"/>
      <c r="X1571" s="8"/>
      <c r="Y1571" s="8"/>
      <c r="Z1571" s="8"/>
      <c r="AA1571" s="8"/>
      <c r="AB1571" s="8"/>
      <c r="AC1571" s="8"/>
      <c r="AD1571" s="14"/>
      <c r="AE1571" s="8"/>
      <c r="AF1571" s="8"/>
      <c r="AG1571" s="8"/>
      <c r="AH1571" s="8"/>
    </row>
    <row r="1572" spans="6:34" x14ac:dyDescent="0.25">
      <c r="F1572" s="16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17"/>
      <c r="T1572" s="8"/>
      <c r="U1572" s="8"/>
      <c r="V1572" s="8"/>
      <c r="W1572" s="8"/>
      <c r="X1572" s="8"/>
      <c r="Y1572" s="8"/>
      <c r="Z1572" s="8"/>
      <c r="AA1572" s="8"/>
      <c r="AB1572" s="8"/>
      <c r="AC1572" s="8"/>
      <c r="AD1572" s="14"/>
      <c r="AE1572" s="8"/>
      <c r="AF1572" s="8"/>
      <c r="AG1572" s="8"/>
      <c r="AH1572" s="8"/>
    </row>
    <row r="1573" spans="6:34" x14ac:dyDescent="0.25">
      <c r="F1573" s="16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17"/>
      <c r="T1573" s="8"/>
      <c r="U1573" s="8"/>
      <c r="V1573" s="8"/>
      <c r="W1573" s="8"/>
      <c r="X1573" s="8"/>
      <c r="Y1573" s="8"/>
      <c r="Z1573" s="8"/>
      <c r="AA1573" s="8"/>
      <c r="AB1573" s="8"/>
      <c r="AC1573" s="8"/>
      <c r="AD1573" s="14"/>
      <c r="AE1573" s="8"/>
      <c r="AF1573" s="8"/>
      <c r="AG1573" s="8"/>
      <c r="AH1573" s="8"/>
    </row>
    <row r="1574" spans="6:34" x14ac:dyDescent="0.25">
      <c r="F1574" s="16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17"/>
      <c r="T1574" s="8"/>
      <c r="U1574" s="8"/>
      <c r="V1574" s="8"/>
      <c r="W1574" s="8"/>
      <c r="X1574" s="8"/>
      <c r="Y1574" s="8"/>
      <c r="Z1574" s="8"/>
      <c r="AA1574" s="8"/>
      <c r="AB1574" s="8"/>
      <c r="AC1574" s="8"/>
      <c r="AD1574" s="14"/>
      <c r="AE1574" s="8"/>
      <c r="AF1574" s="8"/>
      <c r="AG1574" s="8"/>
      <c r="AH1574" s="8"/>
    </row>
    <row r="1575" spans="6:34" x14ac:dyDescent="0.25">
      <c r="F1575" s="16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17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  <c r="AD1575" s="14"/>
      <c r="AE1575" s="8"/>
      <c r="AF1575" s="8"/>
      <c r="AG1575" s="8"/>
      <c r="AH1575" s="8"/>
    </row>
    <row r="1576" spans="6:34" x14ac:dyDescent="0.25">
      <c r="F1576" s="16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17"/>
      <c r="T1576" s="8"/>
      <c r="U1576" s="8"/>
      <c r="V1576" s="8"/>
      <c r="W1576" s="8"/>
      <c r="X1576" s="8"/>
      <c r="Y1576" s="8"/>
      <c r="Z1576" s="8"/>
      <c r="AA1576" s="8"/>
      <c r="AB1576" s="8"/>
      <c r="AC1576" s="8"/>
      <c r="AD1576" s="14"/>
      <c r="AE1576" s="8"/>
      <c r="AF1576" s="8"/>
      <c r="AG1576" s="8"/>
      <c r="AH1576" s="8"/>
    </row>
    <row r="1577" spans="6:34" x14ac:dyDescent="0.25">
      <c r="F1577" s="16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17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  <c r="AD1577" s="14"/>
      <c r="AE1577" s="8"/>
      <c r="AF1577" s="8"/>
      <c r="AG1577" s="8"/>
      <c r="AH1577" s="8"/>
    </row>
    <row r="1578" spans="6:34" x14ac:dyDescent="0.25">
      <c r="F1578" s="16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17"/>
      <c r="T1578" s="8"/>
      <c r="U1578" s="8"/>
      <c r="V1578" s="8"/>
      <c r="W1578" s="8"/>
      <c r="X1578" s="8"/>
      <c r="Y1578" s="8"/>
      <c r="Z1578" s="8"/>
      <c r="AA1578" s="8"/>
      <c r="AB1578" s="8"/>
      <c r="AC1578" s="8"/>
      <c r="AD1578" s="14"/>
      <c r="AE1578" s="8"/>
      <c r="AF1578" s="8"/>
      <c r="AG1578" s="8"/>
      <c r="AH1578" s="8"/>
    </row>
    <row r="1579" spans="6:34" x14ac:dyDescent="0.25">
      <c r="F1579" s="16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17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14"/>
      <c r="AE1579" s="8"/>
      <c r="AF1579" s="8"/>
      <c r="AG1579" s="8"/>
      <c r="AH1579" s="8"/>
    </row>
    <row r="1580" spans="6:34" x14ac:dyDescent="0.25">
      <c r="F1580" s="16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17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14"/>
      <c r="AE1580" s="8"/>
      <c r="AF1580" s="8"/>
      <c r="AG1580" s="8"/>
      <c r="AH1580" s="8"/>
    </row>
    <row r="1581" spans="6:34" x14ac:dyDescent="0.25">
      <c r="F1581" s="16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17"/>
      <c r="T1581" s="8"/>
      <c r="U1581" s="8"/>
      <c r="V1581" s="8"/>
      <c r="W1581" s="8"/>
      <c r="X1581" s="8"/>
      <c r="Y1581" s="8"/>
      <c r="Z1581" s="8"/>
      <c r="AA1581" s="8"/>
      <c r="AB1581" s="8"/>
      <c r="AC1581" s="8"/>
      <c r="AD1581" s="14"/>
      <c r="AE1581" s="8"/>
      <c r="AF1581" s="8"/>
      <c r="AG1581" s="8"/>
      <c r="AH1581" s="8"/>
    </row>
    <row r="1582" spans="6:34" x14ac:dyDescent="0.25">
      <c r="F1582" s="16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17"/>
      <c r="T1582" s="8"/>
      <c r="U1582" s="8"/>
      <c r="V1582" s="8"/>
      <c r="W1582" s="8"/>
      <c r="X1582" s="8"/>
      <c r="Y1582" s="8"/>
      <c r="Z1582" s="8"/>
      <c r="AA1582" s="8"/>
      <c r="AB1582" s="8"/>
      <c r="AC1582" s="8"/>
      <c r="AD1582" s="14"/>
      <c r="AE1582" s="8"/>
      <c r="AF1582" s="8"/>
      <c r="AG1582" s="8"/>
      <c r="AH1582" s="8"/>
    </row>
    <row r="1583" spans="6:34" x14ac:dyDescent="0.25">
      <c r="F1583" s="16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17"/>
      <c r="T1583" s="8"/>
      <c r="U1583" s="8"/>
      <c r="V1583" s="8"/>
      <c r="W1583" s="8"/>
      <c r="X1583" s="8"/>
      <c r="Y1583" s="8"/>
      <c r="Z1583" s="8"/>
      <c r="AA1583" s="8"/>
      <c r="AB1583" s="8"/>
      <c r="AC1583" s="8"/>
      <c r="AD1583" s="14"/>
      <c r="AE1583" s="8"/>
      <c r="AF1583" s="8"/>
      <c r="AG1583" s="8"/>
      <c r="AH1583" s="8"/>
    </row>
    <row r="1584" spans="6:34" x14ac:dyDescent="0.25">
      <c r="F1584" s="16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17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14"/>
      <c r="AE1584" s="8"/>
      <c r="AF1584" s="8"/>
      <c r="AG1584" s="8"/>
      <c r="AH1584" s="8"/>
    </row>
    <row r="1585" spans="6:34" x14ac:dyDescent="0.25">
      <c r="F1585" s="16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17"/>
      <c r="T1585" s="8"/>
      <c r="U1585" s="8"/>
      <c r="V1585" s="8"/>
      <c r="W1585" s="8"/>
      <c r="X1585" s="8"/>
      <c r="Y1585" s="8"/>
      <c r="Z1585" s="8"/>
      <c r="AA1585" s="8"/>
      <c r="AB1585" s="8"/>
      <c r="AC1585" s="8"/>
      <c r="AD1585" s="14"/>
      <c r="AE1585" s="8"/>
      <c r="AF1585" s="8"/>
      <c r="AG1585" s="8"/>
      <c r="AH1585" s="8"/>
    </row>
    <row r="1586" spans="6:34" x14ac:dyDescent="0.25">
      <c r="F1586" s="16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17"/>
      <c r="T1586" s="8"/>
      <c r="U1586" s="8"/>
      <c r="V1586" s="8"/>
      <c r="W1586" s="8"/>
      <c r="X1586" s="8"/>
      <c r="Y1586" s="8"/>
      <c r="Z1586" s="8"/>
      <c r="AA1586" s="8"/>
      <c r="AB1586" s="8"/>
      <c r="AC1586" s="8"/>
      <c r="AD1586" s="14"/>
      <c r="AE1586" s="8"/>
      <c r="AF1586" s="8"/>
      <c r="AG1586" s="8"/>
      <c r="AH1586" s="8"/>
    </row>
    <row r="1587" spans="6:34" x14ac:dyDescent="0.25">
      <c r="F1587" s="16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17"/>
      <c r="T1587" s="8"/>
      <c r="U1587" s="8"/>
      <c r="V1587" s="8"/>
      <c r="W1587" s="8"/>
      <c r="X1587" s="8"/>
      <c r="Y1587" s="8"/>
      <c r="Z1587" s="8"/>
      <c r="AA1587" s="8"/>
      <c r="AB1587" s="8"/>
      <c r="AC1587" s="8"/>
      <c r="AD1587" s="14"/>
      <c r="AE1587" s="8"/>
      <c r="AF1587" s="8"/>
      <c r="AG1587" s="8"/>
      <c r="AH1587" s="8"/>
    </row>
    <row r="1588" spans="6:34" x14ac:dyDescent="0.25">
      <c r="F1588" s="16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17"/>
      <c r="T1588" s="8"/>
      <c r="U1588" s="8"/>
      <c r="V1588" s="8"/>
      <c r="W1588" s="8"/>
      <c r="X1588" s="8"/>
      <c r="Y1588" s="8"/>
      <c r="Z1588" s="8"/>
      <c r="AA1588" s="8"/>
      <c r="AB1588" s="8"/>
      <c r="AC1588" s="8"/>
      <c r="AD1588" s="14"/>
      <c r="AE1588" s="8"/>
      <c r="AF1588" s="8"/>
      <c r="AG1588" s="8"/>
      <c r="AH1588" s="8"/>
    </row>
    <row r="1589" spans="6:34" x14ac:dyDescent="0.25">
      <c r="F1589" s="16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17"/>
      <c r="T1589" s="8"/>
      <c r="U1589" s="8"/>
      <c r="V1589" s="8"/>
      <c r="W1589" s="8"/>
      <c r="X1589" s="8"/>
      <c r="Y1589" s="8"/>
      <c r="Z1589" s="8"/>
      <c r="AA1589" s="8"/>
      <c r="AB1589" s="8"/>
      <c r="AC1589" s="8"/>
      <c r="AD1589" s="14"/>
      <c r="AE1589" s="8"/>
      <c r="AF1589" s="8"/>
      <c r="AG1589" s="8"/>
      <c r="AH1589" s="8"/>
    </row>
    <row r="1590" spans="6:34" x14ac:dyDescent="0.25">
      <c r="F1590" s="16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17"/>
      <c r="T1590" s="8"/>
      <c r="U1590" s="8"/>
      <c r="V1590" s="8"/>
      <c r="W1590" s="8"/>
      <c r="X1590" s="8"/>
      <c r="Y1590" s="8"/>
      <c r="Z1590" s="8"/>
      <c r="AA1590" s="8"/>
      <c r="AB1590" s="8"/>
      <c r="AC1590" s="8"/>
      <c r="AD1590" s="14"/>
      <c r="AE1590" s="8"/>
      <c r="AF1590" s="8"/>
      <c r="AG1590" s="8"/>
      <c r="AH1590" s="8"/>
    </row>
    <row r="1591" spans="6:34" x14ac:dyDescent="0.25">
      <c r="F1591" s="16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17"/>
      <c r="T1591" s="8"/>
      <c r="U1591" s="8"/>
      <c r="V1591" s="8"/>
      <c r="W1591" s="8"/>
      <c r="X1591" s="8"/>
      <c r="Y1591" s="8"/>
      <c r="Z1591" s="8"/>
      <c r="AA1591" s="8"/>
      <c r="AB1591" s="8"/>
      <c r="AC1591" s="8"/>
      <c r="AD1591" s="14"/>
      <c r="AE1591" s="8"/>
      <c r="AF1591" s="8"/>
      <c r="AG1591" s="8"/>
      <c r="AH1591" s="8"/>
    </row>
    <row r="1592" spans="6:34" x14ac:dyDescent="0.25">
      <c r="F1592" s="16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17"/>
      <c r="T1592" s="8"/>
      <c r="U1592" s="8"/>
      <c r="V1592" s="8"/>
      <c r="W1592" s="8"/>
      <c r="X1592" s="8"/>
      <c r="Y1592" s="8"/>
      <c r="Z1592" s="8"/>
      <c r="AA1592" s="8"/>
      <c r="AB1592" s="8"/>
      <c r="AC1592" s="8"/>
      <c r="AD1592" s="14"/>
      <c r="AE1592" s="8"/>
      <c r="AF1592" s="8"/>
      <c r="AG1592" s="8"/>
      <c r="AH1592" s="8"/>
    </row>
    <row r="1593" spans="6:34" x14ac:dyDescent="0.25">
      <c r="F1593" s="16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17"/>
      <c r="T1593" s="8"/>
      <c r="U1593" s="8"/>
      <c r="V1593" s="8"/>
      <c r="W1593" s="8"/>
      <c r="X1593" s="8"/>
      <c r="Y1593" s="8"/>
      <c r="Z1593" s="8"/>
      <c r="AA1593" s="8"/>
      <c r="AB1593" s="8"/>
      <c r="AC1593" s="8"/>
      <c r="AD1593" s="14"/>
      <c r="AE1593" s="8"/>
      <c r="AF1593" s="8"/>
      <c r="AG1593" s="8"/>
      <c r="AH1593" s="8"/>
    </row>
    <row r="1594" spans="6:34" x14ac:dyDescent="0.25">
      <c r="F1594" s="16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17"/>
      <c r="T1594" s="8"/>
      <c r="U1594" s="8"/>
      <c r="V1594" s="8"/>
      <c r="W1594" s="8"/>
      <c r="X1594" s="8"/>
      <c r="Y1594" s="8"/>
      <c r="Z1594" s="8"/>
      <c r="AA1594" s="8"/>
      <c r="AB1594" s="8"/>
      <c r="AC1594" s="8"/>
      <c r="AD1594" s="14"/>
      <c r="AE1594" s="8"/>
      <c r="AF1594" s="8"/>
      <c r="AG1594" s="8"/>
      <c r="AH1594" s="8"/>
    </row>
    <row r="1595" spans="6:34" x14ac:dyDescent="0.25">
      <c r="F1595" s="16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17"/>
      <c r="T1595" s="8"/>
      <c r="U1595" s="8"/>
      <c r="V1595" s="8"/>
      <c r="W1595" s="8"/>
      <c r="X1595" s="8"/>
      <c r="Y1595" s="8"/>
      <c r="Z1595" s="8"/>
      <c r="AA1595" s="8"/>
      <c r="AB1595" s="8"/>
      <c r="AC1595" s="8"/>
      <c r="AD1595" s="14"/>
      <c r="AE1595" s="8"/>
      <c r="AF1595" s="8"/>
      <c r="AG1595" s="8"/>
      <c r="AH1595" s="8"/>
    </row>
    <row r="1596" spans="6:34" x14ac:dyDescent="0.25">
      <c r="F1596" s="16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17"/>
      <c r="T1596" s="8"/>
      <c r="U1596" s="8"/>
      <c r="V1596" s="8"/>
      <c r="W1596" s="8"/>
      <c r="X1596" s="8"/>
      <c r="Y1596" s="8"/>
      <c r="Z1596" s="8"/>
      <c r="AA1596" s="8"/>
      <c r="AB1596" s="8"/>
      <c r="AC1596" s="8"/>
      <c r="AD1596" s="14"/>
      <c r="AE1596" s="8"/>
      <c r="AF1596" s="8"/>
      <c r="AG1596" s="8"/>
      <c r="AH1596" s="8"/>
    </row>
    <row r="1597" spans="6:34" x14ac:dyDescent="0.25">
      <c r="F1597" s="16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17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14"/>
      <c r="AE1597" s="8"/>
      <c r="AF1597" s="8"/>
      <c r="AG1597" s="8"/>
      <c r="AH1597" s="8"/>
    </row>
    <row r="1598" spans="6:34" x14ac:dyDescent="0.25">
      <c r="F1598" s="16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17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  <c r="AD1598" s="14"/>
      <c r="AE1598" s="8"/>
      <c r="AF1598" s="8"/>
      <c r="AG1598" s="8"/>
      <c r="AH1598" s="8"/>
    </row>
    <row r="1599" spans="6:34" x14ac:dyDescent="0.25">
      <c r="F1599" s="16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17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14"/>
      <c r="AE1599" s="8"/>
      <c r="AF1599" s="8"/>
      <c r="AG1599" s="8"/>
      <c r="AH1599" s="8"/>
    </row>
    <row r="1600" spans="6:34" x14ac:dyDescent="0.25">
      <c r="F1600" s="16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17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14"/>
      <c r="AE1600" s="8"/>
      <c r="AF1600" s="8"/>
      <c r="AG1600" s="8"/>
      <c r="AH1600" s="8"/>
    </row>
    <row r="1601" spans="6:34" x14ac:dyDescent="0.25">
      <c r="F1601" s="16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17"/>
      <c r="T1601" s="8"/>
      <c r="U1601" s="8"/>
      <c r="V1601" s="8"/>
      <c r="W1601" s="8"/>
      <c r="X1601" s="8"/>
      <c r="Y1601" s="8"/>
      <c r="Z1601" s="8"/>
      <c r="AA1601" s="8"/>
      <c r="AB1601" s="8"/>
      <c r="AC1601" s="8"/>
      <c r="AD1601" s="14"/>
      <c r="AE1601" s="8"/>
      <c r="AF1601" s="8"/>
      <c r="AG1601" s="8"/>
      <c r="AH1601" s="8"/>
    </row>
    <row r="1602" spans="6:34" x14ac:dyDescent="0.25">
      <c r="F1602" s="16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17"/>
      <c r="T1602" s="8"/>
      <c r="U1602" s="8"/>
      <c r="V1602" s="8"/>
      <c r="W1602" s="8"/>
      <c r="X1602" s="8"/>
      <c r="Y1602" s="8"/>
      <c r="Z1602" s="8"/>
      <c r="AA1602" s="8"/>
      <c r="AB1602" s="8"/>
      <c r="AC1602" s="8"/>
      <c r="AD1602" s="14"/>
      <c r="AE1602" s="8"/>
      <c r="AF1602" s="8"/>
      <c r="AG1602" s="8"/>
      <c r="AH1602" s="8"/>
    </row>
    <row r="1603" spans="6:34" x14ac:dyDescent="0.25">
      <c r="F1603" s="16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17"/>
      <c r="T1603" s="8"/>
      <c r="U1603" s="8"/>
      <c r="V1603" s="8"/>
      <c r="W1603" s="8"/>
      <c r="X1603" s="8"/>
      <c r="Y1603" s="8"/>
      <c r="Z1603" s="8"/>
      <c r="AA1603" s="8"/>
      <c r="AB1603" s="8"/>
      <c r="AC1603" s="8"/>
      <c r="AD1603" s="14"/>
      <c r="AE1603" s="8"/>
      <c r="AF1603" s="8"/>
      <c r="AG1603" s="8"/>
      <c r="AH1603" s="8"/>
    </row>
    <row r="1604" spans="6:34" x14ac:dyDescent="0.25">
      <c r="F1604" s="16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17"/>
      <c r="T1604" s="8"/>
      <c r="U1604" s="8"/>
      <c r="V1604" s="8"/>
      <c r="W1604" s="8"/>
      <c r="X1604" s="8"/>
      <c r="Y1604" s="8"/>
      <c r="Z1604" s="8"/>
      <c r="AA1604" s="8"/>
      <c r="AB1604" s="8"/>
      <c r="AC1604" s="8"/>
      <c r="AD1604" s="14"/>
      <c r="AE1604" s="8"/>
      <c r="AF1604" s="8"/>
      <c r="AG1604" s="8"/>
      <c r="AH1604" s="8"/>
    </row>
    <row r="1605" spans="6:34" x14ac:dyDescent="0.25">
      <c r="F1605" s="16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17"/>
      <c r="T1605" s="8"/>
      <c r="U1605" s="8"/>
      <c r="V1605" s="8"/>
      <c r="W1605" s="8"/>
      <c r="X1605" s="8"/>
      <c r="Y1605" s="8"/>
      <c r="Z1605" s="8"/>
      <c r="AA1605" s="8"/>
      <c r="AB1605" s="8"/>
      <c r="AC1605" s="8"/>
      <c r="AD1605" s="14"/>
      <c r="AE1605" s="8"/>
      <c r="AF1605" s="8"/>
      <c r="AG1605" s="8"/>
      <c r="AH1605" s="8"/>
    </row>
    <row r="1606" spans="6:34" x14ac:dyDescent="0.25">
      <c r="F1606" s="16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17"/>
      <c r="T1606" s="8"/>
      <c r="U1606" s="8"/>
      <c r="V1606" s="8"/>
      <c r="W1606" s="8"/>
      <c r="X1606" s="8"/>
      <c r="Y1606" s="8"/>
      <c r="Z1606" s="8"/>
      <c r="AA1606" s="8"/>
      <c r="AB1606" s="8"/>
      <c r="AC1606" s="8"/>
      <c r="AD1606" s="14"/>
      <c r="AE1606" s="8"/>
      <c r="AF1606" s="8"/>
      <c r="AG1606" s="8"/>
      <c r="AH1606" s="8"/>
    </row>
    <row r="1607" spans="6:34" x14ac:dyDescent="0.25">
      <c r="F1607" s="16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17"/>
      <c r="T1607" s="8"/>
      <c r="U1607" s="8"/>
      <c r="V1607" s="8"/>
      <c r="W1607" s="8"/>
      <c r="X1607" s="8"/>
      <c r="Y1607" s="8"/>
      <c r="Z1607" s="8"/>
      <c r="AA1607" s="8"/>
      <c r="AB1607" s="8"/>
      <c r="AC1607" s="8"/>
      <c r="AD1607" s="14"/>
      <c r="AE1607" s="8"/>
      <c r="AF1607" s="8"/>
      <c r="AG1607" s="8"/>
      <c r="AH1607" s="8"/>
    </row>
    <row r="1608" spans="6:34" x14ac:dyDescent="0.25">
      <c r="F1608" s="16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17"/>
      <c r="T1608" s="8"/>
      <c r="U1608" s="8"/>
      <c r="V1608" s="8"/>
      <c r="W1608" s="8"/>
      <c r="X1608" s="8"/>
      <c r="Y1608" s="8"/>
      <c r="Z1608" s="8"/>
      <c r="AA1608" s="8"/>
      <c r="AB1608" s="8"/>
      <c r="AC1608" s="8"/>
      <c r="AD1608" s="14"/>
      <c r="AE1608" s="8"/>
      <c r="AF1608" s="8"/>
      <c r="AG1608" s="8"/>
      <c r="AH1608" s="8"/>
    </row>
    <row r="1609" spans="6:34" x14ac:dyDescent="0.25">
      <c r="F1609" s="16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17"/>
      <c r="T1609" s="8"/>
      <c r="U1609" s="8"/>
      <c r="V1609" s="8"/>
      <c r="W1609" s="8"/>
      <c r="X1609" s="8"/>
      <c r="Y1609" s="8"/>
      <c r="Z1609" s="8"/>
      <c r="AA1609" s="8"/>
      <c r="AB1609" s="8"/>
      <c r="AC1609" s="8"/>
      <c r="AD1609" s="14"/>
      <c r="AE1609" s="8"/>
      <c r="AF1609" s="8"/>
      <c r="AG1609" s="8"/>
      <c r="AH1609" s="8"/>
    </row>
    <row r="1610" spans="6:34" x14ac:dyDescent="0.25">
      <c r="F1610" s="16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17"/>
      <c r="T1610" s="8"/>
      <c r="U1610" s="8"/>
      <c r="V1610" s="8"/>
      <c r="W1610" s="8"/>
      <c r="X1610" s="8"/>
      <c r="Y1610" s="8"/>
      <c r="Z1610" s="8"/>
      <c r="AA1610" s="8"/>
      <c r="AB1610" s="8"/>
      <c r="AC1610" s="8"/>
      <c r="AD1610" s="14"/>
      <c r="AE1610" s="8"/>
      <c r="AF1610" s="8"/>
      <c r="AG1610" s="8"/>
      <c r="AH1610" s="8"/>
    </row>
    <row r="1611" spans="6:34" x14ac:dyDescent="0.25">
      <c r="F1611" s="16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17"/>
      <c r="T1611" s="8"/>
      <c r="U1611" s="8"/>
      <c r="V1611" s="8"/>
      <c r="W1611" s="8"/>
      <c r="X1611" s="8"/>
      <c r="Y1611" s="8"/>
      <c r="Z1611" s="8"/>
      <c r="AA1611" s="8"/>
      <c r="AB1611" s="8"/>
      <c r="AC1611" s="8"/>
      <c r="AD1611" s="14"/>
      <c r="AE1611" s="8"/>
      <c r="AF1611" s="8"/>
      <c r="AG1611" s="8"/>
      <c r="AH1611" s="8"/>
    </row>
    <row r="1612" spans="6:34" x14ac:dyDescent="0.25">
      <c r="F1612" s="16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17"/>
      <c r="T1612" s="8"/>
      <c r="U1612" s="8"/>
      <c r="V1612" s="8"/>
      <c r="W1612" s="8"/>
      <c r="X1612" s="8"/>
      <c r="Y1612" s="8"/>
      <c r="Z1612" s="8"/>
      <c r="AA1612" s="8"/>
      <c r="AB1612" s="8"/>
      <c r="AC1612" s="8"/>
      <c r="AD1612" s="14"/>
      <c r="AE1612" s="8"/>
      <c r="AF1612" s="8"/>
      <c r="AG1612" s="8"/>
      <c r="AH1612" s="8"/>
    </row>
    <row r="1613" spans="6:34" x14ac:dyDescent="0.25">
      <c r="F1613" s="16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17"/>
      <c r="T1613" s="8"/>
      <c r="U1613" s="8"/>
      <c r="V1613" s="8"/>
      <c r="W1613" s="8"/>
      <c r="X1613" s="8"/>
      <c r="Y1613" s="8"/>
      <c r="Z1613" s="8"/>
      <c r="AA1613" s="8"/>
      <c r="AB1613" s="8"/>
      <c r="AC1613" s="8"/>
      <c r="AD1613" s="14"/>
      <c r="AE1613" s="8"/>
      <c r="AF1613" s="8"/>
      <c r="AG1613" s="8"/>
      <c r="AH1613" s="8"/>
    </row>
    <row r="1614" spans="6:34" x14ac:dyDescent="0.25">
      <c r="F1614" s="16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17"/>
      <c r="T1614" s="8"/>
      <c r="U1614" s="8"/>
      <c r="V1614" s="8"/>
      <c r="W1614" s="8"/>
      <c r="X1614" s="8"/>
      <c r="Y1614" s="8"/>
      <c r="Z1614" s="8"/>
      <c r="AA1614" s="8"/>
      <c r="AB1614" s="8"/>
      <c r="AC1614" s="8"/>
      <c r="AD1614" s="14"/>
      <c r="AE1614" s="8"/>
      <c r="AF1614" s="8"/>
      <c r="AG1614" s="8"/>
      <c r="AH1614" s="8"/>
    </row>
    <row r="1615" spans="6:34" x14ac:dyDescent="0.25">
      <c r="F1615" s="16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17"/>
      <c r="T1615" s="8"/>
      <c r="U1615" s="8"/>
      <c r="V1615" s="8"/>
      <c r="W1615" s="8"/>
      <c r="X1615" s="8"/>
      <c r="Y1615" s="8"/>
      <c r="Z1615" s="8"/>
      <c r="AA1615" s="8"/>
      <c r="AB1615" s="8"/>
      <c r="AC1615" s="8"/>
      <c r="AD1615" s="14"/>
      <c r="AE1615" s="8"/>
      <c r="AF1615" s="8"/>
      <c r="AG1615" s="8"/>
      <c r="AH1615" s="8"/>
    </row>
    <row r="1616" spans="6:34" x14ac:dyDescent="0.25">
      <c r="F1616" s="16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17"/>
      <c r="T1616" s="8"/>
      <c r="U1616" s="8"/>
      <c r="V1616" s="8"/>
      <c r="W1616" s="8"/>
      <c r="X1616" s="8"/>
      <c r="Y1616" s="8"/>
      <c r="Z1616" s="8"/>
      <c r="AA1616" s="8"/>
      <c r="AB1616" s="8"/>
      <c r="AC1616" s="8"/>
      <c r="AD1616" s="14"/>
      <c r="AE1616" s="8"/>
      <c r="AF1616" s="8"/>
      <c r="AG1616" s="8"/>
      <c r="AH1616" s="8"/>
    </row>
    <row r="1617" spans="6:34" x14ac:dyDescent="0.25">
      <c r="F1617" s="16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17"/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14"/>
      <c r="AE1617" s="8"/>
      <c r="AF1617" s="8"/>
      <c r="AG1617" s="8"/>
      <c r="AH1617" s="8"/>
    </row>
    <row r="1618" spans="6:34" x14ac:dyDescent="0.25">
      <c r="F1618" s="16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17"/>
      <c r="T1618" s="8"/>
      <c r="U1618" s="8"/>
      <c r="V1618" s="8"/>
      <c r="W1618" s="8"/>
      <c r="X1618" s="8"/>
      <c r="Y1618" s="8"/>
      <c r="Z1618" s="8"/>
      <c r="AA1618" s="8"/>
      <c r="AB1618" s="8"/>
      <c r="AC1618" s="8"/>
      <c r="AD1618" s="14"/>
      <c r="AE1618" s="8"/>
      <c r="AF1618" s="8"/>
      <c r="AG1618" s="8"/>
      <c r="AH1618" s="8"/>
    </row>
    <row r="1619" spans="6:34" x14ac:dyDescent="0.25">
      <c r="F1619" s="16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17"/>
      <c r="T1619" s="8"/>
      <c r="U1619" s="8"/>
      <c r="V1619" s="8"/>
      <c r="W1619" s="8"/>
      <c r="X1619" s="8"/>
      <c r="Y1619" s="8"/>
      <c r="Z1619" s="8"/>
      <c r="AA1619" s="8"/>
      <c r="AB1619" s="8"/>
      <c r="AC1619" s="8"/>
      <c r="AD1619" s="14"/>
      <c r="AE1619" s="8"/>
      <c r="AF1619" s="8"/>
      <c r="AG1619" s="8"/>
      <c r="AH1619" s="8"/>
    </row>
    <row r="1620" spans="6:34" x14ac:dyDescent="0.25">
      <c r="F1620" s="16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17"/>
      <c r="T1620" s="8"/>
      <c r="U1620" s="8"/>
      <c r="V1620" s="8"/>
      <c r="W1620" s="8"/>
      <c r="X1620" s="8"/>
      <c r="Y1620" s="8"/>
      <c r="Z1620" s="8"/>
      <c r="AA1620" s="8"/>
      <c r="AB1620" s="8"/>
      <c r="AC1620" s="8"/>
      <c r="AD1620" s="14"/>
      <c r="AE1620" s="8"/>
      <c r="AF1620" s="8"/>
      <c r="AG1620" s="8"/>
      <c r="AH1620" s="8"/>
    </row>
    <row r="1621" spans="6:34" x14ac:dyDescent="0.25">
      <c r="F1621" s="16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17"/>
      <c r="T1621" s="8"/>
      <c r="U1621" s="8"/>
      <c r="V1621" s="8"/>
      <c r="W1621" s="8"/>
      <c r="X1621" s="8"/>
      <c r="Y1621" s="8"/>
      <c r="Z1621" s="8"/>
      <c r="AA1621" s="8"/>
      <c r="AB1621" s="8"/>
      <c r="AC1621" s="8"/>
      <c r="AD1621" s="14"/>
      <c r="AE1621" s="8"/>
      <c r="AF1621" s="8"/>
      <c r="AG1621" s="8"/>
      <c r="AH1621" s="8"/>
    </row>
    <row r="1622" spans="6:34" x14ac:dyDescent="0.25">
      <c r="F1622" s="16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17"/>
      <c r="T1622" s="8"/>
      <c r="U1622" s="8"/>
      <c r="V1622" s="8"/>
      <c r="W1622" s="8"/>
      <c r="X1622" s="8"/>
      <c r="Y1622" s="8"/>
      <c r="Z1622" s="8"/>
      <c r="AA1622" s="8"/>
      <c r="AB1622" s="8"/>
      <c r="AC1622" s="8"/>
      <c r="AD1622" s="14"/>
      <c r="AE1622" s="8"/>
      <c r="AF1622" s="8"/>
      <c r="AG1622" s="8"/>
      <c r="AH1622" s="8"/>
    </row>
    <row r="1623" spans="6:34" x14ac:dyDescent="0.25">
      <c r="F1623" s="16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17"/>
      <c r="T1623" s="8"/>
      <c r="U1623" s="8"/>
      <c r="V1623" s="8"/>
      <c r="W1623" s="8"/>
      <c r="X1623" s="8"/>
      <c r="Y1623" s="8"/>
      <c r="Z1623" s="8"/>
      <c r="AA1623" s="8"/>
      <c r="AB1623" s="8"/>
      <c r="AC1623" s="8"/>
      <c r="AD1623" s="14"/>
      <c r="AE1623" s="8"/>
      <c r="AF1623" s="8"/>
      <c r="AG1623" s="8"/>
      <c r="AH1623" s="8"/>
    </row>
    <row r="1624" spans="6:34" x14ac:dyDescent="0.25">
      <c r="F1624" s="16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17"/>
      <c r="T1624" s="8"/>
      <c r="U1624" s="8"/>
      <c r="V1624" s="8"/>
      <c r="W1624" s="8"/>
      <c r="X1624" s="8"/>
      <c r="Y1624" s="8"/>
      <c r="Z1624" s="8"/>
      <c r="AA1624" s="8"/>
      <c r="AB1624" s="8"/>
      <c r="AC1624" s="8"/>
      <c r="AD1624" s="14"/>
      <c r="AE1624" s="8"/>
      <c r="AF1624" s="8"/>
      <c r="AG1624" s="8"/>
      <c r="AH1624" s="8"/>
    </row>
    <row r="1625" spans="6:34" x14ac:dyDescent="0.25">
      <c r="F1625" s="16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17"/>
      <c r="T1625" s="8"/>
      <c r="U1625" s="8"/>
      <c r="V1625" s="8"/>
      <c r="W1625" s="8"/>
      <c r="X1625" s="8"/>
      <c r="Y1625" s="8"/>
      <c r="Z1625" s="8"/>
      <c r="AA1625" s="8"/>
      <c r="AB1625" s="8"/>
      <c r="AC1625" s="8"/>
      <c r="AD1625" s="14"/>
      <c r="AE1625" s="8"/>
      <c r="AF1625" s="8"/>
      <c r="AG1625" s="8"/>
      <c r="AH1625" s="8"/>
    </row>
    <row r="1626" spans="6:34" x14ac:dyDescent="0.25">
      <c r="F1626" s="16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17"/>
      <c r="T1626" s="8"/>
      <c r="U1626" s="8"/>
      <c r="V1626" s="8"/>
      <c r="W1626" s="8"/>
      <c r="X1626" s="8"/>
      <c r="Y1626" s="8"/>
      <c r="Z1626" s="8"/>
      <c r="AA1626" s="8"/>
      <c r="AB1626" s="8"/>
      <c r="AC1626" s="8"/>
      <c r="AD1626" s="14"/>
      <c r="AE1626" s="8"/>
      <c r="AF1626" s="8"/>
      <c r="AG1626" s="8"/>
      <c r="AH1626" s="8"/>
    </row>
    <row r="1627" spans="6:34" x14ac:dyDescent="0.25">
      <c r="F1627" s="16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17"/>
      <c r="T1627" s="8"/>
      <c r="U1627" s="8"/>
      <c r="V1627" s="8"/>
      <c r="W1627" s="8"/>
      <c r="X1627" s="8"/>
      <c r="Y1627" s="8"/>
      <c r="Z1627" s="8"/>
      <c r="AA1627" s="8"/>
      <c r="AB1627" s="8"/>
      <c r="AC1627" s="8"/>
      <c r="AD1627" s="14"/>
      <c r="AE1627" s="8"/>
      <c r="AF1627" s="8"/>
      <c r="AG1627" s="8"/>
      <c r="AH1627" s="8"/>
    </row>
    <row r="1628" spans="6:34" x14ac:dyDescent="0.25">
      <c r="F1628" s="16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17"/>
      <c r="T1628" s="8"/>
      <c r="U1628" s="8"/>
      <c r="V1628" s="8"/>
      <c r="W1628" s="8"/>
      <c r="X1628" s="8"/>
      <c r="Y1628" s="8"/>
      <c r="Z1628" s="8"/>
      <c r="AA1628" s="8"/>
      <c r="AB1628" s="8"/>
      <c r="AC1628" s="8"/>
      <c r="AD1628" s="14"/>
      <c r="AE1628" s="8"/>
      <c r="AF1628" s="8"/>
      <c r="AG1628" s="8"/>
      <c r="AH1628" s="8"/>
    </row>
    <row r="1629" spans="6:34" x14ac:dyDescent="0.25">
      <c r="F1629" s="16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17"/>
      <c r="T1629" s="8"/>
      <c r="U1629" s="8"/>
      <c r="V1629" s="8"/>
      <c r="W1629" s="8"/>
      <c r="X1629" s="8"/>
      <c r="Y1629" s="8"/>
      <c r="Z1629" s="8"/>
      <c r="AA1629" s="8"/>
      <c r="AB1629" s="8"/>
      <c r="AC1629" s="8"/>
      <c r="AD1629" s="14"/>
      <c r="AE1629" s="8"/>
      <c r="AF1629" s="8"/>
      <c r="AG1629" s="8"/>
      <c r="AH1629" s="8"/>
    </row>
    <row r="1630" spans="6:34" x14ac:dyDescent="0.25">
      <c r="F1630" s="16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17"/>
      <c r="T1630" s="8"/>
      <c r="U1630" s="8"/>
      <c r="V1630" s="8"/>
      <c r="W1630" s="8"/>
      <c r="X1630" s="8"/>
      <c r="Y1630" s="8"/>
      <c r="Z1630" s="8"/>
      <c r="AA1630" s="8"/>
      <c r="AB1630" s="8"/>
      <c r="AC1630" s="8"/>
      <c r="AD1630" s="14"/>
      <c r="AE1630" s="8"/>
      <c r="AF1630" s="8"/>
      <c r="AG1630" s="8"/>
      <c r="AH1630" s="8"/>
    </row>
    <row r="1631" spans="6:34" x14ac:dyDescent="0.25">
      <c r="F1631" s="16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17"/>
      <c r="T1631" s="8"/>
      <c r="U1631" s="8"/>
      <c r="V1631" s="8"/>
      <c r="W1631" s="8"/>
      <c r="X1631" s="8"/>
      <c r="Y1631" s="8"/>
      <c r="Z1631" s="8"/>
      <c r="AA1631" s="8"/>
      <c r="AB1631" s="8"/>
      <c r="AC1631" s="8"/>
      <c r="AD1631" s="14"/>
      <c r="AE1631" s="8"/>
      <c r="AF1631" s="8"/>
      <c r="AG1631" s="8"/>
      <c r="AH1631" s="8"/>
    </row>
    <row r="1632" spans="6:34" x14ac:dyDescent="0.25">
      <c r="F1632" s="16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17"/>
      <c r="T1632" s="8"/>
      <c r="U1632" s="8"/>
      <c r="V1632" s="8"/>
      <c r="W1632" s="8"/>
      <c r="X1632" s="8"/>
      <c r="Y1632" s="8"/>
      <c r="Z1632" s="8"/>
      <c r="AA1632" s="8"/>
      <c r="AB1632" s="8"/>
      <c r="AC1632" s="8"/>
      <c r="AD1632" s="14"/>
      <c r="AE1632" s="8"/>
      <c r="AF1632" s="8"/>
      <c r="AG1632" s="8"/>
      <c r="AH1632" s="8"/>
    </row>
    <row r="1633" spans="6:34" x14ac:dyDescent="0.25">
      <c r="F1633" s="16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17"/>
      <c r="T1633" s="8"/>
      <c r="U1633" s="8"/>
      <c r="V1633" s="8"/>
      <c r="W1633" s="8"/>
      <c r="X1633" s="8"/>
      <c r="Y1633" s="8"/>
      <c r="Z1633" s="8"/>
      <c r="AA1633" s="8"/>
      <c r="AB1633" s="8"/>
      <c r="AC1633" s="8"/>
      <c r="AD1633" s="14"/>
      <c r="AE1633" s="8"/>
      <c r="AF1633" s="8"/>
      <c r="AG1633" s="8"/>
      <c r="AH1633" s="8"/>
    </row>
    <row r="1634" spans="6:34" x14ac:dyDescent="0.25">
      <c r="F1634" s="16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17"/>
      <c r="T1634" s="8"/>
      <c r="U1634" s="8"/>
      <c r="V1634" s="8"/>
      <c r="W1634" s="8"/>
      <c r="X1634" s="8"/>
      <c r="Y1634" s="8"/>
      <c r="Z1634" s="8"/>
      <c r="AA1634" s="8"/>
      <c r="AB1634" s="8"/>
      <c r="AC1634" s="8"/>
      <c r="AD1634" s="14"/>
      <c r="AE1634" s="8"/>
      <c r="AF1634" s="8"/>
      <c r="AG1634" s="8"/>
      <c r="AH1634" s="8"/>
    </row>
    <row r="1635" spans="6:34" x14ac:dyDescent="0.25">
      <c r="F1635" s="16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17"/>
      <c r="T1635" s="8"/>
      <c r="U1635" s="8"/>
      <c r="V1635" s="8"/>
      <c r="W1635" s="8"/>
      <c r="X1635" s="8"/>
      <c r="Y1635" s="8"/>
      <c r="Z1635" s="8"/>
      <c r="AA1635" s="8"/>
      <c r="AB1635" s="8"/>
      <c r="AC1635" s="8"/>
      <c r="AD1635" s="14"/>
      <c r="AE1635" s="8"/>
      <c r="AF1635" s="8"/>
      <c r="AG1635" s="8"/>
      <c r="AH1635" s="8"/>
    </row>
    <row r="1636" spans="6:34" x14ac:dyDescent="0.25">
      <c r="F1636" s="16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17"/>
      <c r="T1636" s="8"/>
      <c r="U1636" s="8"/>
      <c r="V1636" s="8"/>
      <c r="W1636" s="8"/>
      <c r="X1636" s="8"/>
      <c r="Y1636" s="8"/>
      <c r="Z1636" s="8"/>
      <c r="AA1636" s="8"/>
      <c r="AB1636" s="8"/>
      <c r="AC1636" s="8"/>
      <c r="AD1636" s="14"/>
      <c r="AE1636" s="8"/>
      <c r="AF1636" s="8"/>
      <c r="AG1636" s="8"/>
      <c r="AH1636" s="8"/>
    </row>
    <row r="1637" spans="6:34" x14ac:dyDescent="0.25">
      <c r="F1637" s="16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17"/>
      <c r="T1637" s="8"/>
      <c r="U1637" s="8"/>
      <c r="V1637" s="8"/>
      <c r="W1637" s="8"/>
      <c r="X1637" s="8"/>
      <c r="Y1637" s="8"/>
      <c r="Z1637" s="8"/>
      <c r="AA1637" s="8"/>
      <c r="AB1637" s="8"/>
      <c r="AC1637" s="8"/>
      <c r="AD1637" s="14"/>
      <c r="AE1637" s="8"/>
      <c r="AF1637" s="8"/>
      <c r="AG1637" s="8"/>
      <c r="AH1637" s="8"/>
    </row>
    <row r="1638" spans="6:34" x14ac:dyDescent="0.25">
      <c r="F1638" s="16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17"/>
      <c r="T1638" s="8"/>
      <c r="U1638" s="8"/>
      <c r="V1638" s="8"/>
      <c r="W1638" s="8"/>
      <c r="X1638" s="8"/>
      <c r="Y1638" s="8"/>
      <c r="Z1638" s="8"/>
      <c r="AA1638" s="8"/>
      <c r="AB1638" s="8"/>
      <c r="AC1638" s="8"/>
      <c r="AD1638" s="14"/>
      <c r="AE1638" s="8"/>
      <c r="AF1638" s="8"/>
      <c r="AG1638" s="8"/>
      <c r="AH1638" s="8"/>
    </row>
    <row r="1639" spans="6:34" x14ac:dyDescent="0.25">
      <c r="F1639" s="16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17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  <c r="AD1639" s="14"/>
      <c r="AE1639" s="8"/>
      <c r="AF1639" s="8"/>
      <c r="AG1639" s="8"/>
      <c r="AH1639" s="8"/>
    </row>
    <row r="1640" spans="6:34" x14ac:dyDescent="0.25">
      <c r="F1640" s="16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17"/>
      <c r="T1640" s="8"/>
      <c r="U1640" s="8"/>
      <c r="V1640" s="8"/>
      <c r="W1640" s="8"/>
      <c r="X1640" s="8"/>
      <c r="Y1640" s="8"/>
      <c r="Z1640" s="8"/>
      <c r="AA1640" s="8"/>
      <c r="AB1640" s="8"/>
      <c r="AC1640" s="8"/>
      <c r="AD1640" s="14"/>
      <c r="AE1640" s="8"/>
      <c r="AF1640" s="8"/>
      <c r="AG1640" s="8"/>
      <c r="AH1640" s="8"/>
    </row>
    <row r="1641" spans="6:34" x14ac:dyDescent="0.25">
      <c r="F1641" s="16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17"/>
      <c r="T1641" s="8"/>
      <c r="U1641" s="8"/>
      <c r="V1641" s="8"/>
      <c r="W1641" s="8"/>
      <c r="X1641" s="8"/>
      <c r="Y1641" s="8"/>
      <c r="Z1641" s="8"/>
      <c r="AA1641" s="8"/>
      <c r="AB1641" s="8"/>
      <c r="AC1641" s="8"/>
      <c r="AD1641" s="14"/>
      <c r="AE1641" s="8"/>
      <c r="AF1641" s="8"/>
      <c r="AG1641" s="8"/>
      <c r="AH1641" s="8"/>
    </row>
    <row r="1642" spans="6:34" x14ac:dyDescent="0.25">
      <c r="F1642" s="16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17"/>
      <c r="T1642" s="8"/>
      <c r="U1642" s="8"/>
      <c r="V1642" s="8"/>
      <c r="W1642" s="8"/>
      <c r="X1642" s="8"/>
      <c r="Y1642" s="8"/>
      <c r="Z1642" s="8"/>
      <c r="AA1642" s="8"/>
      <c r="AB1642" s="8"/>
      <c r="AC1642" s="8"/>
      <c r="AD1642" s="14"/>
      <c r="AE1642" s="8"/>
      <c r="AF1642" s="8"/>
      <c r="AG1642" s="8"/>
      <c r="AH1642" s="8"/>
    </row>
    <row r="1643" spans="6:34" x14ac:dyDescent="0.25">
      <c r="F1643" s="16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17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14"/>
      <c r="AE1643" s="8"/>
      <c r="AF1643" s="8"/>
      <c r="AG1643" s="8"/>
      <c r="AH1643" s="8"/>
    </row>
    <row r="1644" spans="6:34" x14ac:dyDescent="0.25">
      <c r="F1644" s="16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17"/>
      <c r="T1644" s="8"/>
      <c r="U1644" s="8"/>
      <c r="V1644" s="8"/>
      <c r="W1644" s="8"/>
      <c r="X1644" s="8"/>
      <c r="Y1644" s="8"/>
      <c r="Z1644" s="8"/>
      <c r="AA1644" s="8"/>
      <c r="AB1644" s="8"/>
      <c r="AC1644" s="8"/>
      <c r="AD1644" s="14"/>
      <c r="AE1644" s="8"/>
      <c r="AF1644" s="8"/>
      <c r="AG1644" s="8"/>
      <c r="AH1644" s="8"/>
    </row>
    <row r="1645" spans="6:34" x14ac:dyDescent="0.25">
      <c r="F1645" s="16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17"/>
      <c r="T1645" s="8"/>
      <c r="U1645" s="8"/>
      <c r="V1645" s="8"/>
      <c r="W1645" s="8"/>
      <c r="X1645" s="8"/>
      <c r="Y1645" s="8"/>
      <c r="Z1645" s="8"/>
      <c r="AA1645" s="8"/>
      <c r="AB1645" s="8"/>
      <c r="AC1645" s="8"/>
      <c r="AD1645" s="14"/>
      <c r="AE1645" s="8"/>
      <c r="AF1645" s="8"/>
      <c r="AG1645" s="8"/>
      <c r="AH1645" s="8"/>
    </row>
    <row r="1646" spans="6:34" x14ac:dyDescent="0.25">
      <c r="F1646" s="16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17"/>
      <c r="T1646" s="8"/>
      <c r="U1646" s="8"/>
      <c r="V1646" s="8"/>
      <c r="W1646" s="8"/>
      <c r="X1646" s="8"/>
      <c r="Y1646" s="8"/>
      <c r="Z1646" s="8"/>
      <c r="AA1646" s="8"/>
      <c r="AB1646" s="8"/>
      <c r="AC1646" s="8"/>
      <c r="AD1646" s="14"/>
      <c r="AE1646" s="8"/>
      <c r="AF1646" s="8"/>
      <c r="AG1646" s="8"/>
      <c r="AH1646" s="8"/>
    </row>
    <row r="1647" spans="6:34" x14ac:dyDescent="0.25">
      <c r="F1647" s="16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17"/>
      <c r="T1647" s="8"/>
      <c r="U1647" s="8"/>
      <c r="V1647" s="8"/>
      <c r="W1647" s="8"/>
      <c r="X1647" s="8"/>
      <c r="Y1647" s="8"/>
      <c r="Z1647" s="8"/>
      <c r="AA1647" s="8"/>
      <c r="AB1647" s="8"/>
      <c r="AC1647" s="8"/>
      <c r="AD1647" s="14"/>
      <c r="AE1647" s="8"/>
      <c r="AF1647" s="8"/>
      <c r="AG1647" s="8"/>
      <c r="AH1647" s="8"/>
    </row>
    <row r="1648" spans="6:34" x14ac:dyDescent="0.25">
      <c r="F1648" s="16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17"/>
      <c r="T1648" s="8"/>
      <c r="U1648" s="8"/>
      <c r="V1648" s="8"/>
      <c r="W1648" s="8"/>
      <c r="X1648" s="8"/>
      <c r="Y1648" s="8"/>
      <c r="Z1648" s="8"/>
      <c r="AA1648" s="8"/>
      <c r="AB1648" s="8"/>
      <c r="AC1648" s="8"/>
      <c r="AD1648" s="14"/>
      <c r="AE1648" s="8"/>
      <c r="AF1648" s="8"/>
      <c r="AG1648" s="8"/>
      <c r="AH1648" s="8"/>
    </row>
    <row r="1649" spans="6:34" x14ac:dyDescent="0.25">
      <c r="F1649" s="16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17"/>
      <c r="T1649" s="8"/>
      <c r="U1649" s="8"/>
      <c r="V1649" s="8"/>
      <c r="W1649" s="8"/>
      <c r="X1649" s="8"/>
      <c r="Y1649" s="8"/>
      <c r="Z1649" s="8"/>
      <c r="AA1649" s="8"/>
      <c r="AB1649" s="8"/>
      <c r="AC1649" s="8"/>
      <c r="AD1649" s="14"/>
      <c r="AE1649" s="8"/>
      <c r="AF1649" s="8"/>
      <c r="AG1649" s="8"/>
      <c r="AH1649" s="8"/>
    </row>
    <row r="1650" spans="6:34" x14ac:dyDescent="0.25">
      <c r="F1650" s="16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17"/>
      <c r="T1650" s="8"/>
      <c r="U1650" s="8"/>
      <c r="V1650" s="8"/>
      <c r="W1650" s="8"/>
      <c r="X1650" s="8"/>
      <c r="Y1650" s="8"/>
      <c r="Z1650" s="8"/>
      <c r="AA1650" s="8"/>
      <c r="AB1650" s="8"/>
      <c r="AC1650" s="8"/>
      <c r="AD1650" s="14"/>
      <c r="AE1650" s="8"/>
      <c r="AF1650" s="8"/>
      <c r="AG1650" s="8"/>
      <c r="AH1650" s="8"/>
    </row>
    <row r="1651" spans="6:34" x14ac:dyDescent="0.25">
      <c r="F1651" s="16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17"/>
      <c r="T1651" s="8"/>
      <c r="U1651" s="8"/>
      <c r="V1651" s="8"/>
      <c r="W1651" s="8"/>
      <c r="X1651" s="8"/>
      <c r="Y1651" s="8"/>
      <c r="Z1651" s="8"/>
      <c r="AA1651" s="8"/>
      <c r="AB1651" s="8"/>
      <c r="AC1651" s="8"/>
      <c r="AD1651" s="14"/>
      <c r="AE1651" s="8"/>
      <c r="AF1651" s="8"/>
      <c r="AG1651" s="8"/>
      <c r="AH1651" s="8"/>
    </row>
    <row r="1652" spans="6:34" x14ac:dyDescent="0.25">
      <c r="F1652" s="16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17"/>
      <c r="T1652" s="8"/>
      <c r="U1652" s="8"/>
      <c r="V1652" s="8"/>
      <c r="W1652" s="8"/>
      <c r="X1652" s="8"/>
      <c r="Y1652" s="8"/>
      <c r="Z1652" s="8"/>
      <c r="AA1652" s="8"/>
      <c r="AB1652" s="8"/>
      <c r="AC1652" s="8"/>
      <c r="AD1652" s="14"/>
      <c r="AE1652" s="8"/>
      <c r="AF1652" s="8"/>
      <c r="AG1652" s="8"/>
      <c r="AH1652" s="8"/>
    </row>
    <row r="1653" spans="6:34" x14ac:dyDescent="0.25">
      <c r="F1653" s="16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17"/>
      <c r="T1653" s="8"/>
      <c r="U1653" s="8"/>
      <c r="V1653" s="8"/>
      <c r="W1653" s="8"/>
      <c r="X1653" s="8"/>
      <c r="Y1653" s="8"/>
      <c r="Z1653" s="8"/>
      <c r="AA1653" s="8"/>
      <c r="AB1653" s="8"/>
      <c r="AC1653" s="8"/>
      <c r="AD1653" s="14"/>
      <c r="AE1653" s="8"/>
      <c r="AF1653" s="8"/>
      <c r="AG1653" s="8"/>
      <c r="AH1653" s="8"/>
    </row>
    <row r="1654" spans="6:34" x14ac:dyDescent="0.25">
      <c r="F1654" s="16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17"/>
      <c r="T1654" s="8"/>
      <c r="U1654" s="8"/>
      <c r="V1654" s="8"/>
      <c r="W1654" s="8"/>
      <c r="X1654" s="8"/>
      <c r="Y1654" s="8"/>
      <c r="Z1654" s="8"/>
      <c r="AA1654" s="8"/>
      <c r="AB1654" s="8"/>
      <c r="AC1654" s="8"/>
      <c r="AD1654" s="14"/>
      <c r="AE1654" s="8"/>
      <c r="AF1654" s="8"/>
      <c r="AG1654" s="8"/>
      <c r="AH1654" s="8"/>
    </row>
    <row r="1655" spans="6:34" x14ac:dyDescent="0.25">
      <c r="F1655" s="16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17"/>
      <c r="T1655" s="8"/>
      <c r="U1655" s="8"/>
      <c r="V1655" s="8"/>
      <c r="W1655" s="8"/>
      <c r="X1655" s="8"/>
      <c r="Y1655" s="8"/>
      <c r="Z1655" s="8"/>
      <c r="AA1655" s="8"/>
      <c r="AB1655" s="8"/>
      <c r="AC1655" s="8"/>
      <c r="AD1655" s="14"/>
      <c r="AE1655" s="8"/>
      <c r="AF1655" s="8"/>
      <c r="AG1655" s="8"/>
      <c r="AH1655" s="8"/>
    </row>
    <row r="1656" spans="6:34" x14ac:dyDescent="0.25">
      <c r="F1656" s="16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17"/>
      <c r="T1656" s="8"/>
      <c r="U1656" s="8"/>
      <c r="V1656" s="8"/>
      <c r="W1656" s="8"/>
      <c r="X1656" s="8"/>
      <c r="Y1656" s="8"/>
      <c r="Z1656" s="8"/>
      <c r="AA1656" s="8"/>
      <c r="AB1656" s="8"/>
      <c r="AC1656" s="8"/>
      <c r="AD1656" s="14"/>
      <c r="AE1656" s="8"/>
      <c r="AF1656" s="8"/>
      <c r="AG1656" s="8"/>
      <c r="AH1656" s="8"/>
    </row>
    <row r="1657" spans="6:34" x14ac:dyDescent="0.25">
      <c r="F1657" s="16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17"/>
      <c r="T1657" s="8"/>
      <c r="U1657" s="8"/>
      <c r="V1657" s="8"/>
      <c r="W1657" s="8"/>
      <c r="X1657" s="8"/>
      <c r="Y1657" s="8"/>
      <c r="Z1657" s="8"/>
      <c r="AA1657" s="8"/>
      <c r="AB1657" s="8"/>
      <c r="AC1657" s="8"/>
      <c r="AD1657" s="14"/>
      <c r="AE1657" s="8"/>
      <c r="AF1657" s="8"/>
      <c r="AG1657" s="8"/>
      <c r="AH1657" s="8"/>
    </row>
    <row r="1658" spans="6:34" x14ac:dyDescent="0.25">
      <c r="F1658" s="16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17"/>
      <c r="T1658" s="8"/>
      <c r="U1658" s="8"/>
      <c r="V1658" s="8"/>
      <c r="W1658" s="8"/>
      <c r="X1658" s="8"/>
      <c r="Y1658" s="8"/>
      <c r="Z1658" s="8"/>
      <c r="AA1658" s="8"/>
      <c r="AB1658" s="8"/>
      <c r="AC1658" s="8"/>
      <c r="AD1658" s="14"/>
      <c r="AE1658" s="8"/>
      <c r="AF1658" s="8"/>
      <c r="AG1658" s="8"/>
      <c r="AH1658" s="8"/>
    </row>
    <row r="1659" spans="6:34" x14ac:dyDescent="0.25">
      <c r="F1659" s="16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17"/>
      <c r="T1659" s="8"/>
      <c r="U1659" s="8"/>
      <c r="V1659" s="8"/>
      <c r="W1659" s="8"/>
      <c r="X1659" s="8"/>
      <c r="Y1659" s="8"/>
      <c r="Z1659" s="8"/>
      <c r="AA1659" s="8"/>
      <c r="AB1659" s="8"/>
      <c r="AC1659" s="8"/>
      <c r="AD1659" s="14"/>
      <c r="AE1659" s="8"/>
      <c r="AF1659" s="8"/>
      <c r="AG1659" s="8"/>
      <c r="AH1659" s="8"/>
    </row>
    <row r="1660" spans="6:34" x14ac:dyDescent="0.25">
      <c r="F1660" s="16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17"/>
      <c r="T1660" s="8"/>
      <c r="U1660" s="8"/>
      <c r="V1660" s="8"/>
      <c r="W1660" s="8"/>
      <c r="X1660" s="8"/>
      <c r="Y1660" s="8"/>
      <c r="Z1660" s="8"/>
      <c r="AA1660" s="8"/>
      <c r="AB1660" s="8"/>
      <c r="AC1660" s="8"/>
      <c r="AD1660" s="14"/>
      <c r="AE1660" s="8"/>
      <c r="AF1660" s="8"/>
      <c r="AG1660" s="8"/>
      <c r="AH1660" s="8"/>
    </row>
    <row r="1661" spans="6:34" x14ac:dyDescent="0.25">
      <c r="F1661" s="16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17"/>
      <c r="T1661" s="8"/>
      <c r="U1661" s="8"/>
      <c r="V1661" s="8"/>
      <c r="W1661" s="8"/>
      <c r="X1661" s="8"/>
      <c r="Y1661" s="8"/>
      <c r="Z1661" s="8"/>
      <c r="AA1661" s="8"/>
      <c r="AB1661" s="8"/>
      <c r="AC1661" s="8"/>
      <c r="AD1661" s="14"/>
      <c r="AE1661" s="8"/>
      <c r="AF1661" s="8"/>
      <c r="AG1661" s="8"/>
      <c r="AH1661" s="8"/>
    </row>
    <row r="1662" spans="6:34" x14ac:dyDescent="0.25">
      <c r="F1662" s="16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17"/>
      <c r="T1662" s="8"/>
      <c r="U1662" s="8"/>
      <c r="V1662" s="8"/>
      <c r="W1662" s="8"/>
      <c r="X1662" s="8"/>
      <c r="Y1662" s="8"/>
      <c r="Z1662" s="8"/>
      <c r="AA1662" s="8"/>
      <c r="AB1662" s="8"/>
      <c r="AC1662" s="8"/>
      <c r="AD1662" s="14"/>
      <c r="AE1662" s="8"/>
      <c r="AF1662" s="8"/>
      <c r="AG1662" s="8"/>
      <c r="AH1662" s="8"/>
    </row>
    <row r="1663" spans="6:34" x14ac:dyDescent="0.25">
      <c r="F1663" s="16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17"/>
      <c r="T1663" s="8"/>
      <c r="U1663" s="8"/>
      <c r="V1663" s="8"/>
      <c r="W1663" s="8"/>
      <c r="X1663" s="8"/>
      <c r="Y1663" s="8"/>
      <c r="Z1663" s="8"/>
      <c r="AA1663" s="8"/>
      <c r="AB1663" s="8"/>
      <c r="AC1663" s="8"/>
      <c r="AD1663" s="14"/>
      <c r="AE1663" s="8"/>
      <c r="AF1663" s="8"/>
      <c r="AG1663" s="8"/>
      <c r="AH1663" s="8"/>
    </row>
    <row r="1664" spans="6:34" x14ac:dyDescent="0.25">
      <c r="F1664" s="16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17"/>
      <c r="T1664" s="8"/>
      <c r="U1664" s="8"/>
      <c r="V1664" s="8"/>
      <c r="W1664" s="8"/>
      <c r="X1664" s="8"/>
      <c r="Y1664" s="8"/>
      <c r="Z1664" s="8"/>
      <c r="AA1664" s="8"/>
      <c r="AB1664" s="8"/>
      <c r="AC1664" s="8"/>
      <c r="AD1664" s="14"/>
      <c r="AE1664" s="8"/>
      <c r="AF1664" s="8"/>
      <c r="AG1664" s="8"/>
      <c r="AH1664" s="8"/>
    </row>
    <row r="1665" spans="6:34" x14ac:dyDescent="0.25">
      <c r="F1665" s="16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17"/>
      <c r="T1665" s="8"/>
      <c r="U1665" s="8"/>
      <c r="V1665" s="8"/>
      <c r="W1665" s="8"/>
      <c r="X1665" s="8"/>
      <c r="Y1665" s="8"/>
      <c r="Z1665" s="8"/>
      <c r="AA1665" s="8"/>
      <c r="AB1665" s="8"/>
      <c r="AC1665" s="8"/>
      <c r="AD1665" s="14"/>
      <c r="AE1665" s="8"/>
      <c r="AF1665" s="8"/>
      <c r="AG1665" s="8"/>
      <c r="AH1665" s="8"/>
    </row>
    <row r="1666" spans="6:34" x14ac:dyDescent="0.25">
      <c r="F1666" s="16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17"/>
      <c r="T1666" s="8"/>
      <c r="U1666" s="8"/>
      <c r="V1666" s="8"/>
      <c r="W1666" s="8"/>
      <c r="X1666" s="8"/>
      <c r="Y1666" s="8"/>
      <c r="Z1666" s="8"/>
      <c r="AA1666" s="8"/>
      <c r="AB1666" s="8"/>
      <c r="AC1666" s="8"/>
      <c r="AD1666" s="14"/>
      <c r="AE1666" s="8"/>
      <c r="AF1666" s="8"/>
      <c r="AG1666" s="8"/>
      <c r="AH1666" s="8"/>
    </row>
    <row r="1667" spans="6:34" x14ac:dyDescent="0.25">
      <c r="F1667" s="16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17"/>
      <c r="T1667" s="8"/>
      <c r="U1667" s="8"/>
      <c r="V1667" s="8"/>
      <c r="W1667" s="8"/>
      <c r="X1667" s="8"/>
      <c r="Y1667" s="8"/>
      <c r="Z1667" s="8"/>
      <c r="AA1667" s="8"/>
      <c r="AB1667" s="8"/>
      <c r="AC1667" s="8"/>
      <c r="AD1667" s="14"/>
      <c r="AE1667" s="8"/>
      <c r="AF1667" s="8"/>
      <c r="AG1667" s="8"/>
      <c r="AH1667" s="8"/>
    </row>
    <row r="1668" spans="6:34" x14ac:dyDescent="0.25">
      <c r="F1668" s="16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17"/>
      <c r="T1668" s="8"/>
      <c r="U1668" s="8"/>
      <c r="V1668" s="8"/>
      <c r="W1668" s="8"/>
      <c r="X1668" s="8"/>
      <c r="Y1668" s="8"/>
      <c r="Z1668" s="8"/>
      <c r="AA1668" s="8"/>
      <c r="AB1668" s="8"/>
      <c r="AC1668" s="8"/>
      <c r="AD1668" s="14"/>
      <c r="AE1668" s="8"/>
      <c r="AF1668" s="8"/>
      <c r="AG1668" s="8"/>
      <c r="AH1668" s="8"/>
    </row>
    <row r="1669" spans="6:34" x14ac:dyDescent="0.25">
      <c r="F1669" s="16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17"/>
      <c r="T1669" s="8"/>
      <c r="U1669" s="8"/>
      <c r="V1669" s="8"/>
      <c r="W1669" s="8"/>
      <c r="X1669" s="8"/>
      <c r="Y1669" s="8"/>
      <c r="Z1669" s="8"/>
      <c r="AA1669" s="8"/>
      <c r="AB1669" s="8"/>
      <c r="AC1669" s="8"/>
      <c r="AD1669" s="14"/>
      <c r="AE1669" s="8"/>
      <c r="AF1669" s="8"/>
      <c r="AG1669" s="8"/>
      <c r="AH1669" s="8"/>
    </row>
    <row r="1670" spans="6:34" x14ac:dyDescent="0.25">
      <c r="F1670" s="16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17"/>
      <c r="T1670" s="8"/>
      <c r="U1670" s="8"/>
      <c r="V1670" s="8"/>
      <c r="W1670" s="8"/>
      <c r="X1670" s="8"/>
      <c r="Y1670" s="8"/>
      <c r="Z1670" s="8"/>
      <c r="AA1670" s="8"/>
      <c r="AB1670" s="8"/>
      <c r="AC1670" s="8"/>
      <c r="AD1670" s="14"/>
      <c r="AE1670" s="8"/>
      <c r="AF1670" s="8"/>
      <c r="AG1670" s="8"/>
      <c r="AH1670" s="8"/>
    </row>
    <row r="1671" spans="6:34" x14ac:dyDescent="0.25">
      <c r="F1671" s="16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17"/>
      <c r="T1671" s="8"/>
      <c r="U1671" s="8"/>
      <c r="V1671" s="8"/>
      <c r="W1671" s="8"/>
      <c r="X1671" s="8"/>
      <c r="Y1671" s="8"/>
      <c r="Z1671" s="8"/>
      <c r="AA1671" s="8"/>
      <c r="AB1671" s="8"/>
      <c r="AC1671" s="8"/>
      <c r="AD1671" s="14"/>
      <c r="AE1671" s="8"/>
      <c r="AF1671" s="8"/>
      <c r="AG1671" s="8"/>
      <c r="AH1671" s="8"/>
    </row>
    <row r="1672" spans="6:34" x14ac:dyDescent="0.25">
      <c r="F1672" s="16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17"/>
      <c r="T1672" s="8"/>
      <c r="U1672" s="8"/>
      <c r="V1672" s="8"/>
      <c r="W1672" s="8"/>
      <c r="X1672" s="8"/>
      <c r="Y1672" s="8"/>
      <c r="Z1672" s="8"/>
      <c r="AA1672" s="8"/>
      <c r="AB1672" s="8"/>
      <c r="AC1672" s="8"/>
      <c r="AD1672" s="14"/>
      <c r="AE1672" s="8"/>
      <c r="AF1672" s="8"/>
      <c r="AG1672" s="8"/>
      <c r="AH1672" s="8"/>
    </row>
    <row r="1673" spans="6:34" x14ac:dyDescent="0.25">
      <c r="F1673" s="16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17"/>
      <c r="T1673" s="8"/>
      <c r="U1673" s="8"/>
      <c r="V1673" s="8"/>
      <c r="W1673" s="8"/>
      <c r="X1673" s="8"/>
      <c r="Y1673" s="8"/>
      <c r="Z1673" s="8"/>
      <c r="AA1673" s="8"/>
      <c r="AB1673" s="8"/>
      <c r="AC1673" s="8"/>
      <c r="AD1673" s="14"/>
      <c r="AE1673" s="8"/>
      <c r="AF1673" s="8"/>
      <c r="AG1673" s="8"/>
      <c r="AH1673" s="8"/>
    </row>
    <row r="1674" spans="6:34" x14ac:dyDescent="0.25">
      <c r="F1674" s="16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17"/>
      <c r="T1674" s="8"/>
      <c r="U1674" s="8"/>
      <c r="V1674" s="8"/>
      <c r="W1674" s="8"/>
      <c r="X1674" s="8"/>
      <c r="Y1674" s="8"/>
      <c r="Z1674" s="8"/>
      <c r="AA1674" s="8"/>
      <c r="AB1674" s="8"/>
      <c r="AC1674" s="8"/>
      <c r="AD1674" s="14"/>
      <c r="AE1674" s="8"/>
      <c r="AF1674" s="8"/>
      <c r="AG1674" s="8"/>
      <c r="AH1674" s="8"/>
    </row>
    <row r="1675" spans="6:34" x14ac:dyDescent="0.25">
      <c r="F1675" s="16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17"/>
      <c r="T1675" s="8"/>
      <c r="U1675" s="8"/>
      <c r="V1675" s="8"/>
      <c r="W1675" s="8"/>
      <c r="X1675" s="8"/>
      <c r="Y1675" s="8"/>
      <c r="Z1675" s="8"/>
      <c r="AA1675" s="8"/>
      <c r="AB1675" s="8"/>
      <c r="AC1675" s="8"/>
      <c r="AD1675" s="14"/>
      <c r="AE1675" s="8"/>
      <c r="AF1675" s="8"/>
      <c r="AG1675" s="8"/>
      <c r="AH1675" s="8"/>
    </row>
    <row r="1676" spans="6:34" x14ac:dyDescent="0.25">
      <c r="F1676" s="16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17"/>
      <c r="T1676" s="8"/>
      <c r="U1676" s="8"/>
      <c r="V1676" s="8"/>
      <c r="W1676" s="8"/>
      <c r="X1676" s="8"/>
      <c r="Y1676" s="8"/>
      <c r="Z1676" s="8"/>
      <c r="AA1676" s="8"/>
      <c r="AB1676" s="8"/>
      <c r="AC1676" s="8"/>
      <c r="AD1676" s="14"/>
      <c r="AE1676" s="8"/>
      <c r="AF1676" s="8"/>
      <c r="AG1676" s="8"/>
      <c r="AH1676" s="8"/>
    </row>
    <row r="1677" spans="6:34" x14ac:dyDescent="0.25">
      <c r="F1677" s="16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17"/>
      <c r="T1677" s="8"/>
      <c r="U1677" s="8"/>
      <c r="V1677" s="8"/>
      <c r="W1677" s="8"/>
      <c r="X1677" s="8"/>
      <c r="Y1677" s="8"/>
      <c r="Z1677" s="8"/>
      <c r="AA1677" s="8"/>
      <c r="AB1677" s="8"/>
      <c r="AC1677" s="8"/>
      <c r="AD1677" s="14"/>
      <c r="AE1677" s="8"/>
      <c r="AF1677" s="8"/>
      <c r="AG1677" s="8"/>
      <c r="AH1677" s="8"/>
    </row>
    <row r="1678" spans="6:34" x14ac:dyDescent="0.25">
      <c r="F1678" s="16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17"/>
      <c r="T1678" s="8"/>
      <c r="U1678" s="8"/>
      <c r="V1678" s="8"/>
      <c r="W1678" s="8"/>
      <c r="X1678" s="8"/>
      <c r="Y1678" s="8"/>
      <c r="Z1678" s="8"/>
      <c r="AA1678" s="8"/>
      <c r="AB1678" s="8"/>
      <c r="AC1678" s="8"/>
      <c r="AD1678" s="14"/>
      <c r="AE1678" s="8"/>
      <c r="AF1678" s="8"/>
      <c r="AG1678" s="8"/>
      <c r="AH1678" s="8"/>
    </row>
    <row r="1679" spans="6:34" x14ac:dyDescent="0.25">
      <c r="F1679" s="16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17"/>
      <c r="T1679" s="8"/>
      <c r="U1679" s="8"/>
      <c r="V1679" s="8"/>
      <c r="W1679" s="8"/>
      <c r="X1679" s="8"/>
      <c r="Y1679" s="8"/>
      <c r="Z1679" s="8"/>
      <c r="AA1679" s="8"/>
      <c r="AB1679" s="8"/>
      <c r="AC1679" s="8"/>
      <c r="AD1679" s="14"/>
      <c r="AE1679" s="8"/>
      <c r="AF1679" s="8"/>
      <c r="AG1679" s="8"/>
      <c r="AH1679" s="8"/>
    </row>
    <row r="1680" spans="6:34" x14ac:dyDescent="0.25">
      <c r="F1680" s="16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17"/>
      <c r="T1680" s="8"/>
      <c r="U1680" s="8"/>
      <c r="V1680" s="8"/>
      <c r="W1680" s="8"/>
      <c r="X1680" s="8"/>
      <c r="Y1680" s="8"/>
      <c r="Z1680" s="8"/>
      <c r="AA1680" s="8"/>
      <c r="AB1680" s="8"/>
      <c r="AC1680" s="8"/>
      <c r="AD1680" s="14"/>
      <c r="AE1680" s="8"/>
      <c r="AF1680" s="8"/>
      <c r="AG1680" s="8"/>
      <c r="AH1680" s="8"/>
    </row>
    <row r="1681" spans="6:34" x14ac:dyDescent="0.25">
      <c r="F1681" s="16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17"/>
      <c r="T1681" s="8"/>
      <c r="U1681" s="8"/>
      <c r="V1681" s="8"/>
      <c r="W1681" s="8"/>
      <c r="X1681" s="8"/>
      <c r="Y1681" s="8"/>
      <c r="Z1681" s="8"/>
      <c r="AA1681" s="8"/>
      <c r="AB1681" s="8"/>
      <c r="AC1681" s="8"/>
      <c r="AD1681" s="14"/>
      <c r="AE1681" s="8"/>
      <c r="AF1681" s="8"/>
      <c r="AG1681" s="8"/>
      <c r="AH1681" s="8"/>
    </row>
    <row r="1682" spans="6:34" x14ac:dyDescent="0.25">
      <c r="F1682" s="16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17"/>
      <c r="T1682" s="8"/>
      <c r="U1682" s="8"/>
      <c r="V1682" s="8"/>
      <c r="W1682" s="8"/>
      <c r="X1682" s="8"/>
      <c r="Y1682" s="8"/>
      <c r="Z1682" s="8"/>
      <c r="AA1682" s="8"/>
      <c r="AB1682" s="8"/>
      <c r="AC1682" s="8"/>
      <c r="AD1682" s="14"/>
      <c r="AE1682" s="8"/>
      <c r="AF1682" s="8"/>
      <c r="AG1682" s="8"/>
      <c r="AH1682" s="8"/>
    </row>
    <row r="1683" spans="6:34" x14ac:dyDescent="0.25">
      <c r="F1683" s="16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17"/>
      <c r="T1683" s="8"/>
      <c r="U1683" s="8"/>
      <c r="V1683" s="8"/>
      <c r="W1683" s="8"/>
      <c r="X1683" s="8"/>
      <c r="Y1683" s="8"/>
      <c r="Z1683" s="8"/>
      <c r="AA1683" s="8"/>
      <c r="AB1683" s="8"/>
      <c r="AC1683" s="8"/>
      <c r="AD1683" s="14"/>
      <c r="AE1683" s="8"/>
      <c r="AF1683" s="8"/>
      <c r="AG1683" s="8"/>
      <c r="AH1683" s="8"/>
    </row>
    <row r="1684" spans="6:34" x14ac:dyDescent="0.25">
      <c r="F1684" s="16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17"/>
      <c r="T1684" s="8"/>
      <c r="U1684" s="8"/>
      <c r="V1684" s="8"/>
      <c r="W1684" s="8"/>
      <c r="X1684" s="8"/>
      <c r="Y1684" s="8"/>
      <c r="Z1684" s="8"/>
      <c r="AA1684" s="8"/>
      <c r="AB1684" s="8"/>
      <c r="AC1684" s="8"/>
      <c r="AD1684" s="14"/>
      <c r="AE1684" s="8"/>
      <c r="AF1684" s="8"/>
      <c r="AG1684" s="8"/>
      <c r="AH1684" s="8"/>
    </row>
    <row r="1685" spans="6:34" x14ac:dyDescent="0.25">
      <c r="F1685" s="16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17"/>
      <c r="T1685" s="8"/>
      <c r="U1685" s="8"/>
      <c r="V1685" s="8"/>
      <c r="W1685" s="8"/>
      <c r="X1685" s="8"/>
      <c r="Y1685" s="8"/>
      <c r="Z1685" s="8"/>
      <c r="AA1685" s="8"/>
      <c r="AB1685" s="8"/>
      <c r="AC1685" s="8"/>
      <c r="AD1685" s="14"/>
      <c r="AE1685" s="8"/>
      <c r="AF1685" s="8"/>
      <c r="AG1685" s="8"/>
      <c r="AH1685" s="8"/>
    </row>
    <row r="1686" spans="6:34" x14ac:dyDescent="0.25">
      <c r="F1686" s="16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17"/>
      <c r="T1686" s="8"/>
      <c r="U1686" s="8"/>
      <c r="V1686" s="8"/>
      <c r="W1686" s="8"/>
      <c r="X1686" s="8"/>
      <c r="Y1686" s="8"/>
      <c r="Z1686" s="8"/>
      <c r="AA1686" s="8"/>
      <c r="AB1686" s="8"/>
      <c r="AC1686" s="8"/>
      <c r="AD1686" s="14"/>
      <c r="AE1686" s="8"/>
      <c r="AF1686" s="8"/>
      <c r="AG1686" s="8"/>
      <c r="AH1686" s="8"/>
    </row>
    <row r="1687" spans="6:34" x14ac:dyDescent="0.25">
      <c r="F1687" s="16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17"/>
      <c r="T1687" s="8"/>
      <c r="U1687" s="8"/>
      <c r="V1687" s="8"/>
      <c r="W1687" s="8"/>
      <c r="X1687" s="8"/>
      <c r="Y1687" s="8"/>
      <c r="Z1687" s="8"/>
      <c r="AA1687" s="8"/>
      <c r="AB1687" s="8"/>
      <c r="AC1687" s="8"/>
      <c r="AD1687" s="14"/>
      <c r="AE1687" s="8"/>
      <c r="AF1687" s="8"/>
      <c r="AG1687" s="8"/>
      <c r="AH1687" s="8"/>
    </row>
    <row r="1688" spans="6:34" x14ac:dyDescent="0.25">
      <c r="F1688" s="16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17"/>
      <c r="T1688" s="8"/>
      <c r="U1688" s="8"/>
      <c r="V1688" s="8"/>
      <c r="W1688" s="8"/>
      <c r="X1688" s="8"/>
      <c r="Y1688" s="8"/>
      <c r="Z1688" s="8"/>
      <c r="AA1688" s="8"/>
      <c r="AB1688" s="8"/>
      <c r="AC1688" s="8"/>
      <c r="AD1688" s="14"/>
      <c r="AE1688" s="8"/>
      <c r="AF1688" s="8"/>
      <c r="AG1688" s="8"/>
      <c r="AH1688" s="8"/>
    </row>
    <row r="1689" spans="6:34" x14ac:dyDescent="0.25">
      <c r="F1689" s="16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17"/>
      <c r="T1689" s="8"/>
      <c r="U1689" s="8"/>
      <c r="V1689" s="8"/>
      <c r="W1689" s="8"/>
      <c r="X1689" s="8"/>
      <c r="Y1689" s="8"/>
      <c r="Z1689" s="8"/>
      <c r="AA1689" s="8"/>
      <c r="AB1689" s="8"/>
      <c r="AC1689" s="8"/>
      <c r="AD1689" s="14"/>
      <c r="AE1689" s="8"/>
      <c r="AF1689" s="8"/>
      <c r="AG1689" s="8"/>
      <c r="AH1689" s="8"/>
    </row>
    <row r="1690" spans="6:34" x14ac:dyDescent="0.25">
      <c r="F1690" s="16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17"/>
      <c r="T1690" s="8"/>
      <c r="U1690" s="8"/>
      <c r="V1690" s="8"/>
      <c r="W1690" s="8"/>
      <c r="X1690" s="8"/>
      <c r="Y1690" s="8"/>
      <c r="Z1690" s="8"/>
      <c r="AA1690" s="8"/>
      <c r="AB1690" s="8"/>
      <c r="AC1690" s="8"/>
      <c r="AD1690" s="14"/>
      <c r="AE1690" s="8"/>
      <c r="AF1690" s="8"/>
      <c r="AG1690" s="8"/>
      <c r="AH1690" s="8"/>
    </row>
    <row r="1691" spans="6:34" x14ac:dyDescent="0.25">
      <c r="F1691" s="16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17"/>
      <c r="T1691" s="8"/>
      <c r="U1691" s="8"/>
      <c r="V1691" s="8"/>
      <c r="W1691" s="8"/>
      <c r="X1691" s="8"/>
      <c r="Y1691" s="8"/>
      <c r="Z1691" s="8"/>
      <c r="AA1691" s="8"/>
      <c r="AB1691" s="8"/>
      <c r="AC1691" s="8"/>
      <c r="AD1691" s="14"/>
      <c r="AE1691" s="8"/>
      <c r="AF1691" s="8"/>
      <c r="AG1691" s="8"/>
      <c r="AH1691" s="8"/>
    </row>
    <row r="1692" spans="6:34" x14ac:dyDescent="0.25">
      <c r="F1692" s="16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17"/>
      <c r="T1692" s="8"/>
      <c r="U1692" s="8"/>
      <c r="V1692" s="8"/>
      <c r="W1692" s="8"/>
      <c r="X1692" s="8"/>
      <c r="Y1692" s="8"/>
      <c r="Z1692" s="8"/>
      <c r="AA1692" s="8"/>
      <c r="AB1692" s="8"/>
      <c r="AC1692" s="8"/>
      <c r="AD1692" s="14"/>
      <c r="AE1692" s="8"/>
      <c r="AF1692" s="8"/>
      <c r="AG1692" s="8"/>
      <c r="AH1692" s="8"/>
    </row>
    <row r="1693" spans="6:34" x14ac:dyDescent="0.25">
      <c r="F1693" s="16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17"/>
      <c r="T1693" s="8"/>
      <c r="U1693" s="8"/>
      <c r="V1693" s="8"/>
      <c r="W1693" s="8"/>
      <c r="X1693" s="8"/>
      <c r="Y1693" s="8"/>
      <c r="Z1693" s="8"/>
      <c r="AA1693" s="8"/>
      <c r="AB1693" s="8"/>
      <c r="AC1693" s="8"/>
      <c r="AD1693" s="14"/>
      <c r="AE1693" s="8"/>
      <c r="AF1693" s="8"/>
      <c r="AG1693" s="8"/>
      <c r="AH1693" s="8"/>
    </row>
    <row r="1694" spans="6:34" x14ac:dyDescent="0.25">
      <c r="F1694" s="16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17"/>
      <c r="T1694" s="8"/>
      <c r="U1694" s="8"/>
      <c r="V1694" s="8"/>
      <c r="W1694" s="8"/>
      <c r="X1694" s="8"/>
      <c r="Y1694" s="8"/>
      <c r="Z1694" s="8"/>
      <c r="AA1694" s="8"/>
      <c r="AB1694" s="8"/>
      <c r="AC1694" s="8"/>
      <c r="AD1694" s="14"/>
      <c r="AE1694" s="8"/>
      <c r="AF1694" s="8"/>
      <c r="AG1694" s="8"/>
      <c r="AH1694" s="8"/>
    </row>
    <row r="1695" spans="6:34" x14ac:dyDescent="0.25">
      <c r="F1695" s="16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17"/>
      <c r="T1695" s="8"/>
      <c r="U1695" s="8"/>
      <c r="V1695" s="8"/>
      <c r="W1695" s="8"/>
      <c r="X1695" s="8"/>
      <c r="Y1695" s="8"/>
      <c r="Z1695" s="8"/>
      <c r="AA1695" s="8"/>
      <c r="AB1695" s="8"/>
      <c r="AC1695" s="8"/>
      <c r="AD1695" s="14"/>
      <c r="AE1695" s="8"/>
      <c r="AF1695" s="8"/>
      <c r="AG1695" s="8"/>
      <c r="AH1695" s="8"/>
    </row>
    <row r="1696" spans="6:34" x14ac:dyDescent="0.25">
      <c r="F1696" s="16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17"/>
      <c r="T1696" s="8"/>
      <c r="U1696" s="8"/>
      <c r="V1696" s="8"/>
      <c r="W1696" s="8"/>
      <c r="X1696" s="8"/>
      <c r="Y1696" s="8"/>
      <c r="Z1696" s="8"/>
      <c r="AA1696" s="8"/>
      <c r="AB1696" s="8"/>
      <c r="AC1696" s="8"/>
      <c r="AD1696" s="14"/>
      <c r="AE1696" s="8"/>
      <c r="AF1696" s="8"/>
      <c r="AG1696" s="8"/>
      <c r="AH1696" s="8"/>
    </row>
    <row r="1697" spans="6:34" x14ac:dyDescent="0.25">
      <c r="F1697" s="16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17"/>
      <c r="T1697" s="8"/>
      <c r="U1697" s="8"/>
      <c r="V1697" s="8"/>
      <c r="W1697" s="8"/>
      <c r="X1697" s="8"/>
      <c r="Y1697" s="8"/>
      <c r="Z1697" s="8"/>
      <c r="AA1697" s="8"/>
      <c r="AB1697" s="8"/>
      <c r="AC1697" s="8"/>
      <c r="AD1697" s="14"/>
      <c r="AE1697" s="8"/>
      <c r="AF1697" s="8"/>
      <c r="AG1697" s="8"/>
      <c r="AH1697" s="8"/>
    </row>
    <row r="1698" spans="6:34" x14ac:dyDescent="0.25">
      <c r="F1698" s="16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17"/>
      <c r="T1698" s="8"/>
      <c r="U1698" s="8"/>
      <c r="V1698" s="8"/>
      <c r="W1698" s="8"/>
      <c r="X1698" s="8"/>
      <c r="Y1698" s="8"/>
      <c r="Z1698" s="8"/>
      <c r="AA1698" s="8"/>
      <c r="AB1698" s="8"/>
      <c r="AC1698" s="8"/>
      <c r="AD1698" s="14"/>
      <c r="AE1698" s="8"/>
      <c r="AF1698" s="8"/>
      <c r="AG1698" s="8"/>
      <c r="AH1698" s="8"/>
    </row>
    <row r="1699" spans="6:34" x14ac:dyDescent="0.25">
      <c r="F1699" s="16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17"/>
      <c r="T1699" s="8"/>
      <c r="U1699" s="8"/>
      <c r="V1699" s="8"/>
      <c r="W1699" s="8"/>
      <c r="X1699" s="8"/>
      <c r="Y1699" s="8"/>
      <c r="Z1699" s="8"/>
      <c r="AA1699" s="8"/>
      <c r="AB1699" s="8"/>
      <c r="AC1699" s="8"/>
      <c r="AD1699" s="14"/>
      <c r="AE1699" s="8"/>
      <c r="AF1699" s="8"/>
      <c r="AG1699" s="8"/>
      <c r="AH1699" s="8"/>
    </row>
    <row r="1700" spans="6:34" x14ac:dyDescent="0.25">
      <c r="F1700" s="16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17"/>
      <c r="T1700" s="8"/>
      <c r="U1700" s="8"/>
      <c r="V1700" s="8"/>
      <c r="W1700" s="8"/>
      <c r="X1700" s="8"/>
      <c r="Y1700" s="8"/>
      <c r="Z1700" s="8"/>
      <c r="AA1700" s="8"/>
      <c r="AB1700" s="8"/>
      <c r="AC1700" s="8"/>
      <c r="AD1700" s="14"/>
      <c r="AE1700" s="8"/>
      <c r="AF1700" s="8"/>
      <c r="AG1700" s="8"/>
      <c r="AH1700" s="8"/>
    </row>
    <row r="1701" spans="6:34" x14ac:dyDescent="0.25">
      <c r="F1701" s="16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17"/>
      <c r="T1701" s="8"/>
      <c r="U1701" s="8"/>
      <c r="V1701" s="8"/>
      <c r="W1701" s="8"/>
      <c r="X1701" s="8"/>
      <c r="Y1701" s="8"/>
      <c r="Z1701" s="8"/>
      <c r="AA1701" s="8"/>
      <c r="AB1701" s="8"/>
      <c r="AC1701" s="8"/>
      <c r="AD1701" s="14"/>
      <c r="AE1701" s="8"/>
      <c r="AF1701" s="8"/>
      <c r="AG1701" s="8"/>
      <c r="AH1701" s="8"/>
    </row>
    <row r="1702" spans="6:34" x14ac:dyDescent="0.25">
      <c r="F1702" s="16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17"/>
      <c r="T1702" s="8"/>
      <c r="U1702" s="8"/>
      <c r="V1702" s="8"/>
      <c r="W1702" s="8"/>
      <c r="X1702" s="8"/>
      <c r="Y1702" s="8"/>
      <c r="Z1702" s="8"/>
      <c r="AA1702" s="8"/>
      <c r="AB1702" s="8"/>
      <c r="AC1702" s="8"/>
      <c r="AD1702" s="14"/>
      <c r="AE1702" s="8"/>
      <c r="AF1702" s="8"/>
      <c r="AG1702" s="8"/>
      <c r="AH1702" s="8"/>
    </row>
    <row r="1703" spans="6:34" x14ac:dyDescent="0.25">
      <c r="F1703" s="16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17"/>
      <c r="T1703" s="8"/>
      <c r="U1703" s="8"/>
      <c r="V1703" s="8"/>
      <c r="W1703" s="8"/>
      <c r="X1703" s="8"/>
      <c r="Y1703" s="8"/>
      <c r="Z1703" s="8"/>
      <c r="AA1703" s="8"/>
      <c r="AB1703" s="8"/>
      <c r="AC1703" s="8"/>
      <c r="AD1703" s="14"/>
      <c r="AE1703" s="8"/>
      <c r="AF1703" s="8"/>
      <c r="AG1703" s="8"/>
      <c r="AH1703" s="8"/>
    </row>
    <row r="1704" spans="6:34" x14ac:dyDescent="0.25">
      <c r="F1704" s="16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17"/>
      <c r="T1704" s="8"/>
      <c r="U1704" s="8"/>
      <c r="V1704" s="8"/>
      <c r="W1704" s="8"/>
      <c r="X1704" s="8"/>
      <c r="Y1704" s="8"/>
      <c r="Z1704" s="8"/>
      <c r="AA1704" s="8"/>
      <c r="AB1704" s="8"/>
      <c r="AC1704" s="8"/>
      <c r="AD1704" s="14"/>
      <c r="AE1704" s="8"/>
      <c r="AF1704" s="8"/>
      <c r="AG1704" s="8"/>
      <c r="AH1704" s="8"/>
    </row>
    <row r="1705" spans="6:34" x14ac:dyDescent="0.25">
      <c r="F1705" s="16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17"/>
      <c r="T1705" s="8"/>
      <c r="U1705" s="8"/>
      <c r="V1705" s="8"/>
      <c r="W1705" s="8"/>
      <c r="X1705" s="8"/>
      <c r="Y1705" s="8"/>
      <c r="Z1705" s="8"/>
      <c r="AA1705" s="8"/>
      <c r="AB1705" s="8"/>
      <c r="AC1705" s="8"/>
      <c r="AD1705" s="14"/>
      <c r="AE1705" s="8"/>
      <c r="AF1705" s="8"/>
      <c r="AG1705" s="8"/>
      <c r="AH1705" s="8"/>
    </row>
    <row r="1706" spans="6:34" x14ac:dyDescent="0.25">
      <c r="F1706" s="16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17"/>
      <c r="T1706" s="8"/>
      <c r="U1706" s="8"/>
      <c r="V1706" s="8"/>
      <c r="W1706" s="8"/>
      <c r="X1706" s="8"/>
      <c r="Y1706" s="8"/>
      <c r="Z1706" s="8"/>
      <c r="AA1706" s="8"/>
      <c r="AB1706" s="8"/>
      <c r="AC1706" s="8"/>
      <c r="AD1706" s="14"/>
      <c r="AE1706" s="8"/>
      <c r="AF1706" s="8"/>
      <c r="AG1706" s="8"/>
      <c r="AH1706" s="8"/>
    </row>
    <row r="1707" spans="6:34" x14ac:dyDescent="0.25">
      <c r="F1707" s="16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17"/>
      <c r="T1707" s="8"/>
      <c r="U1707" s="8"/>
      <c r="V1707" s="8"/>
      <c r="W1707" s="8"/>
      <c r="X1707" s="8"/>
      <c r="Y1707" s="8"/>
      <c r="Z1707" s="8"/>
      <c r="AA1707" s="8"/>
      <c r="AB1707" s="8"/>
      <c r="AC1707" s="8"/>
      <c r="AD1707" s="14"/>
      <c r="AE1707" s="8"/>
      <c r="AF1707" s="8"/>
      <c r="AG1707" s="8"/>
      <c r="AH1707" s="8"/>
    </row>
    <row r="1708" spans="6:34" x14ac:dyDescent="0.25">
      <c r="F1708" s="16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17"/>
      <c r="T1708" s="8"/>
      <c r="U1708" s="8"/>
      <c r="V1708" s="8"/>
      <c r="W1708" s="8"/>
      <c r="X1708" s="8"/>
      <c r="Y1708" s="8"/>
      <c r="Z1708" s="8"/>
      <c r="AA1708" s="8"/>
      <c r="AB1708" s="8"/>
      <c r="AC1708" s="8"/>
      <c r="AD1708" s="14"/>
      <c r="AE1708" s="8"/>
      <c r="AF1708" s="8"/>
      <c r="AG1708" s="8"/>
      <c r="AH1708" s="8"/>
    </row>
    <row r="1709" spans="6:34" x14ac:dyDescent="0.25">
      <c r="F1709" s="16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17"/>
      <c r="T1709" s="8"/>
      <c r="U1709" s="8"/>
      <c r="V1709" s="8"/>
      <c r="W1709" s="8"/>
      <c r="X1709" s="8"/>
      <c r="Y1709" s="8"/>
      <c r="Z1709" s="8"/>
      <c r="AA1709" s="8"/>
      <c r="AB1709" s="8"/>
      <c r="AC1709" s="8"/>
      <c r="AD1709" s="14"/>
      <c r="AE1709" s="8"/>
      <c r="AF1709" s="8"/>
      <c r="AG1709" s="8"/>
      <c r="AH1709" s="8"/>
    </row>
    <row r="1710" spans="6:34" x14ac:dyDescent="0.25">
      <c r="F1710" s="16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17"/>
      <c r="T1710" s="8"/>
      <c r="U1710" s="8"/>
      <c r="V1710" s="8"/>
      <c r="W1710" s="8"/>
      <c r="X1710" s="8"/>
      <c r="Y1710" s="8"/>
      <c r="Z1710" s="8"/>
      <c r="AA1710" s="8"/>
      <c r="AB1710" s="8"/>
      <c r="AC1710" s="8"/>
      <c r="AD1710" s="14"/>
      <c r="AE1710" s="8"/>
      <c r="AF1710" s="8"/>
      <c r="AG1710" s="8"/>
      <c r="AH1710" s="8"/>
    </row>
    <row r="1711" spans="6:34" x14ac:dyDescent="0.25">
      <c r="F1711" s="16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17"/>
      <c r="T1711" s="8"/>
      <c r="U1711" s="8"/>
      <c r="V1711" s="8"/>
      <c r="W1711" s="8"/>
      <c r="X1711" s="8"/>
      <c r="Y1711" s="8"/>
      <c r="Z1711" s="8"/>
      <c r="AA1711" s="8"/>
      <c r="AB1711" s="8"/>
      <c r="AC1711" s="8"/>
      <c r="AD1711" s="14"/>
      <c r="AE1711" s="8"/>
      <c r="AF1711" s="8"/>
      <c r="AG1711" s="8"/>
      <c r="AH1711" s="8"/>
    </row>
    <row r="1712" spans="6:34" x14ac:dyDescent="0.25">
      <c r="F1712" s="16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17"/>
      <c r="T1712" s="8"/>
      <c r="U1712" s="8"/>
      <c r="V1712" s="8"/>
      <c r="W1712" s="8"/>
      <c r="X1712" s="8"/>
      <c r="Y1712" s="8"/>
      <c r="Z1712" s="8"/>
      <c r="AA1712" s="8"/>
      <c r="AB1712" s="8"/>
      <c r="AC1712" s="8"/>
      <c r="AD1712" s="14"/>
      <c r="AE1712" s="8"/>
      <c r="AF1712" s="8"/>
      <c r="AG1712" s="8"/>
      <c r="AH1712" s="8"/>
    </row>
    <row r="1713" spans="6:34" x14ac:dyDescent="0.25">
      <c r="F1713" s="16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17"/>
      <c r="T1713" s="8"/>
      <c r="U1713" s="8"/>
      <c r="V1713" s="8"/>
      <c r="W1713" s="8"/>
      <c r="X1713" s="8"/>
      <c r="Y1713" s="8"/>
      <c r="Z1713" s="8"/>
      <c r="AA1713" s="8"/>
      <c r="AB1713" s="8"/>
      <c r="AC1713" s="8"/>
      <c r="AD1713" s="14"/>
      <c r="AE1713" s="8"/>
      <c r="AF1713" s="8"/>
      <c r="AG1713" s="8"/>
      <c r="AH1713" s="8"/>
    </row>
    <row r="1714" spans="6:34" x14ac:dyDescent="0.25">
      <c r="F1714" s="16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17"/>
      <c r="T1714" s="8"/>
      <c r="U1714" s="8"/>
      <c r="V1714" s="8"/>
      <c r="W1714" s="8"/>
      <c r="X1714" s="8"/>
      <c r="Y1714" s="8"/>
      <c r="Z1714" s="8"/>
      <c r="AA1714" s="8"/>
      <c r="AB1714" s="8"/>
      <c r="AC1714" s="8"/>
      <c r="AD1714" s="14"/>
      <c r="AE1714" s="8"/>
      <c r="AF1714" s="8"/>
      <c r="AG1714" s="8"/>
      <c r="AH1714" s="8"/>
    </row>
    <row r="1715" spans="6:34" x14ac:dyDescent="0.25">
      <c r="F1715" s="16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17"/>
      <c r="T1715" s="8"/>
      <c r="U1715" s="8"/>
      <c r="V1715" s="8"/>
      <c r="W1715" s="8"/>
      <c r="X1715" s="8"/>
      <c r="Y1715" s="8"/>
      <c r="Z1715" s="8"/>
      <c r="AA1715" s="8"/>
      <c r="AB1715" s="8"/>
      <c r="AC1715" s="8"/>
      <c r="AD1715" s="14"/>
      <c r="AE1715" s="8"/>
      <c r="AF1715" s="8"/>
      <c r="AG1715" s="8"/>
      <c r="AH1715" s="8"/>
    </row>
    <row r="1716" spans="6:34" x14ac:dyDescent="0.25">
      <c r="F1716" s="16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17"/>
      <c r="T1716" s="8"/>
      <c r="U1716" s="8"/>
      <c r="V1716" s="8"/>
      <c r="W1716" s="8"/>
      <c r="X1716" s="8"/>
      <c r="Y1716" s="8"/>
      <c r="Z1716" s="8"/>
      <c r="AA1716" s="8"/>
      <c r="AB1716" s="8"/>
      <c r="AC1716" s="8"/>
      <c r="AD1716" s="14"/>
      <c r="AE1716" s="8"/>
      <c r="AF1716" s="8"/>
      <c r="AG1716" s="8"/>
      <c r="AH1716" s="8"/>
    </row>
    <row r="1717" spans="6:34" x14ac:dyDescent="0.25">
      <c r="F1717" s="16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17"/>
      <c r="T1717" s="8"/>
      <c r="U1717" s="8"/>
      <c r="V1717" s="8"/>
      <c r="W1717" s="8"/>
      <c r="X1717" s="8"/>
      <c r="Y1717" s="8"/>
      <c r="Z1717" s="8"/>
      <c r="AA1717" s="8"/>
      <c r="AB1717" s="8"/>
      <c r="AC1717" s="8"/>
      <c r="AD1717" s="14"/>
      <c r="AE1717" s="8"/>
      <c r="AF1717" s="8"/>
      <c r="AG1717" s="8"/>
      <c r="AH1717" s="8"/>
    </row>
    <row r="1718" spans="6:34" x14ac:dyDescent="0.25">
      <c r="F1718" s="16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17"/>
      <c r="T1718" s="8"/>
      <c r="U1718" s="8"/>
      <c r="V1718" s="8"/>
      <c r="W1718" s="8"/>
      <c r="X1718" s="8"/>
      <c r="Y1718" s="8"/>
      <c r="Z1718" s="8"/>
      <c r="AA1718" s="8"/>
      <c r="AB1718" s="8"/>
      <c r="AC1718" s="8"/>
      <c r="AD1718" s="14"/>
      <c r="AE1718" s="8"/>
      <c r="AF1718" s="8"/>
      <c r="AG1718" s="8"/>
      <c r="AH1718" s="8"/>
    </row>
    <row r="1719" spans="6:34" x14ac:dyDescent="0.25">
      <c r="F1719" s="16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17"/>
      <c r="T1719" s="8"/>
      <c r="U1719" s="8"/>
      <c r="V1719" s="8"/>
      <c r="W1719" s="8"/>
      <c r="X1719" s="8"/>
      <c r="Y1719" s="8"/>
      <c r="Z1719" s="8"/>
      <c r="AA1719" s="8"/>
      <c r="AB1719" s="8"/>
      <c r="AC1719" s="8"/>
      <c r="AD1719" s="14"/>
      <c r="AE1719" s="8"/>
      <c r="AF1719" s="8"/>
      <c r="AG1719" s="8"/>
      <c r="AH1719" s="8"/>
    </row>
    <row r="1720" spans="6:34" x14ac:dyDescent="0.25">
      <c r="F1720" s="16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17"/>
      <c r="T1720" s="8"/>
      <c r="U1720" s="8"/>
      <c r="V1720" s="8"/>
      <c r="W1720" s="8"/>
      <c r="X1720" s="8"/>
      <c r="Y1720" s="8"/>
      <c r="Z1720" s="8"/>
      <c r="AA1720" s="8"/>
      <c r="AB1720" s="8"/>
      <c r="AC1720" s="8"/>
      <c r="AD1720" s="14"/>
      <c r="AE1720" s="8"/>
      <c r="AF1720" s="8"/>
      <c r="AG1720" s="8"/>
      <c r="AH1720" s="8"/>
    </row>
    <row r="1721" spans="6:34" x14ac:dyDescent="0.25">
      <c r="F1721" s="16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17"/>
      <c r="T1721" s="8"/>
      <c r="U1721" s="8"/>
      <c r="V1721" s="8"/>
      <c r="W1721" s="8"/>
      <c r="X1721" s="8"/>
      <c r="Y1721" s="8"/>
      <c r="Z1721" s="8"/>
      <c r="AA1721" s="8"/>
      <c r="AB1721" s="8"/>
      <c r="AC1721" s="8"/>
      <c r="AD1721" s="14"/>
      <c r="AE1721" s="8"/>
      <c r="AF1721" s="8"/>
      <c r="AG1721" s="8"/>
      <c r="AH1721" s="8"/>
    </row>
    <row r="1722" spans="6:34" x14ac:dyDescent="0.25">
      <c r="F1722" s="16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17"/>
      <c r="T1722" s="8"/>
      <c r="U1722" s="8"/>
      <c r="V1722" s="8"/>
      <c r="W1722" s="8"/>
      <c r="X1722" s="8"/>
      <c r="Y1722" s="8"/>
      <c r="Z1722" s="8"/>
      <c r="AA1722" s="8"/>
      <c r="AB1722" s="8"/>
      <c r="AC1722" s="8"/>
      <c r="AD1722" s="14"/>
      <c r="AE1722" s="8"/>
      <c r="AF1722" s="8"/>
      <c r="AG1722" s="8"/>
      <c r="AH1722" s="8"/>
    </row>
    <row r="1723" spans="6:34" x14ac:dyDescent="0.25">
      <c r="F1723" s="16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17"/>
      <c r="T1723" s="8"/>
      <c r="U1723" s="8"/>
      <c r="V1723" s="8"/>
      <c r="W1723" s="8"/>
      <c r="X1723" s="8"/>
      <c r="Y1723" s="8"/>
      <c r="Z1723" s="8"/>
      <c r="AA1723" s="8"/>
      <c r="AB1723" s="8"/>
      <c r="AC1723" s="8"/>
      <c r="AD1723" s="14"/>
      <c r="AE1723" s="8"/>
      <c r="AF1723" s="8"/>
      <c r="AG1723" s="8"/>
      <c r="AH1723" s="8"/>
    </row>
    <row r="1724" spans="6:34" x14ac:dyDescent="0.25">
      <c r="F1724" s="16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17"/>
      <c r="T1724" s="8"/>
      <c r="U1724" s="8"/>
      <c r="V1724" s="8"/>
      <c r="W1724" s="8"/>
      <c r="X1724" s="8"/>
      <c r="Y1724" s="8"/>
      <c r="Z1724" s="8"/>
      <c r="AA1724" s="8"/>
      <c r="AB1724" s="8"/>
      <c r="AC1724" s="8"/>
      <c r="AD1724" s="14"/>
      <c r="AE1724" s="8"/>
      <c r="AF1724" s="8"/>
      <c r="AG1724" s="8"/>
      <c r="AH1724" s="8"/>
    </row>
    <row r="1725" spans="6:34" x14ac:dyDescent="0.25">
      <c r="F1725" s="16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17"/>
      <c r="T1725" s="8"/>
      <c r="U1725" s="8"/>
      <c r="V1725" s="8"/>
      <c r="W1725" s="8"/>
      <c r="X1725" s="8"/>
      <c r="Y1725" s="8"/>
      <c r="Z1725" s="8"/>
      <c r="AA1725" s="8"/>
      <c r="AB1725" s="8"/>
      <c r="AC1725" s="8"/>
      <c r="AD1725" s="14"/>
      <c r="AE1725" s="8"/>
      <c r="AF1725" s="8"/>
      <c r="AG1725" s="8"/>
      <c r="AH1725" s="8"/>
    </row>
    <row r="1726" spans="6:34" x14ac:dyDescent="0.25">
      <c r="F1726" s="16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17"/>
      <c r="T1726" s="8"/>
      <c r="U1726" s="8"/>
      <c r="V1726" s="8"/>
      <c r="W1726" s="8"/>
      <c r="X1726" s="8"/>
      <c r="Y1726" s="8"/>
      <c r="Z1726" s="8"/>
      <c r="AA1726" s="8"/>
      <c r="AB1726" s="8"/>
      <c r="AC1726" s="8"/>
      <c r="AD1726" s="14"/>
      <c r="AE1726" s="8"/>
      <c r="AF1726" s="8"/>
      <c r="AG1726" s="8"/>
      <c r="AH1726" s="8"/>
    </row>
    <row r="1727" spans="6:34" x14ac:dyDescent="0.25">
      <c r="F1727" s="16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17"/>
      <c r="T1727" s="8"/>
      <c r="U1727" s="8"/>
      <c r="V1727" s="8"/>
      <c r="W1727" s="8"/>
      <c r="X1727" s="8"/>
      <c r="Y1727" s="8"/>
      <c r="Z1727" s="8"/>
      <c r="AA1727" s="8"/>
      <c r="AB1727" s="8"/>
      <c r="AC1727" s="8"/>
      <c r="AD1727" s="14"/>
      <c r="AE1727" s="8"/>
      <c r="AF1727" s="8"/>
      <c r="AG1727" s="8"/>
      <c r="AH1727" s="8"/>
    </row>
    <row r="1728" spans="6:34" x14ac:dyDescent="0.25">
      <c r="F1728" s="16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17"/>
      <c r="T1728" s="8"/>
      <c r="U1728" s="8"/>
      <c r="V1728" s="8"/>
      <c r="W1728" s="8"/>
      <c r="X1728" s="8"/>
      <c r="Y1728" s="8"/>
      <c r="Z1728" s="8"/>
      <c r="AA1728" s="8"/>
      <c r="AB1728" s="8"/>
      <c r="AC1728" s="8"/>
      <c r="AD1728" s="14"/>
      <c r="AE1728" s="8"/>
      <c r="AF1728" s="8"/>
      <c r="AG1728" s="8"/>
      <c r="AH1728" s="8"/>
    </row>
    <row r="1729" spans="6:34" x14ac:dyDescent="0.25">
      <c r="F1729" s="16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17"/>
      <c r="T1729" s="8"/>
      <c r="U1729" s="8"/>
      <c r="V1729" s="8"/>
      <c r="W1729" s="8"/>
      <c r="X1729" s="8"/>
      <c r="Y1729" s="8"/>
      <c r="Z1729" s="8"/>
      <c r="AA1729" s="8"/>
      <c r="AB1729" s="8"/>
      <c r="AC1729" s="8"/>
      <c r="AD1729" s="14"/>
      <c r="AE1729" s="8"/>
      <c r="AF1729" s="8"/>
      <c r="AG1729" s="8"/>
      <c r="AH1729" s="8"/>
    </row>
    <row r="1730" spans="6:34" x14ac:dyDescent="0.25">
      <c r="F1730" s="16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17"/>
      <c r="T1730" s="8"/>
      <c r="U1730" s="8"/>
      <c r="V1730" s="8"/>
      <c r="W1730" s="8"/>
      <c r="X1730" s="8"/>
      <c r="Y1730" s="8"/>
      <c r="Z1730" s="8"/>
      <c r="AA1730" s="8"/>
      <c r="AB1730" s="8"/>
      <c r="AC1730" s="8"/>
      <c r="AD1730" s="14"/>
      <c r="AE1730" s="8"/>
      <c r="AF1730" s="8"/>
      <c r="AG1730" s="8"/>
      <c r="AH1730" s="8"/>
    </row>
    <row r="1731" spans="6:34" x14ac:dyDescent="0.25">
      <c r="F1731" s="16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17"/>
      <c r="T1731" s="8"/>
      <c r="U1731" s="8"/>
      <c r="V1731" s="8"/>
      <c r="W1731" s="8"/>
      <c r="X1731" s="8"/>
      <c r="Y1731" s="8"/>
      <c r="Z1731" s="8"/>
      <c r="AA1731" s="8"/>
      <c r="AB1731" s="8"/>
      <c r="AC1731" s="8"/>
      <c r="AD1731" s="14"/>
      <c r="AE1731" s="8"/>
      <c r="AF1731" s="8"/>
      <c r="AG1731" s="8"/>
      <c r="AH1731" s="8"/>
    </row>
    <row r="1732" spans="6:34" x14ac:dyDescent="0.25">
      <c r="F1732" s="16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17"/>
      <c r="T1732" s="8"/>
      <c r="U1732" s="8"/>
      <c r="V1732" s="8"/>
      <c r="W1732" s="8"/>
      <c r="X1732" s="8"/>
      <c r="Y1732" s="8"/>
      <c r="Z1732" s="8"/>
      <c r="AA1732" s="8"/>
      <c r="AB1732" s="8"/>
      <c r="AC1732" s="8"/>
      <c r="AD1732" s="14"/>
      <c r="AE1732" s="8"/>
      <c r="AF1732" s="8"/>
      <c r="AG1732" s="8"/>
      <c r="AH1732" s="8"/>
    </row>
    <row r="1733" spans="6:34" x14ac:dyDescent="0.25">
      <c r="F1733" s="16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17"/>
      <c r="T1733" s="8"/>
      <c r="U1733" s="8"/>
      <c r="V1733" s="8"/>
      <c r="W1733" s="8"/>
      <c r="X1733" s="8"/>
      <c r="Y1733" s="8"/>
      <c r="Z1733" s="8"/>
      <c r="AA1733" s="8"/>
      <c r="AB1733" s="8"/>
      <c r="AC1733" s="8"/>
      <c r="AD1733" s="14"/>
      <c r="AE1733" s="8"/>
      <c r="AF1733" s="8"/>
      <c r="AG1733" s="8"/>
      <c r="AH1733" s="8"/>
    </row>
    <row r="1734" spans="6:34" x14ac:dyDescent="0.25">
      <c r="F1734" s="16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17"/>
      <c r="T1734" s="8"/>
      <c r="U1734" s="8"/>
      <c r="V1734" s="8"/>
      <c r="W1734" s="8"/>
      <c r="X1734" s="8"/>
      <c r="Y1734" s="8"/>
      <c r="Z1734" s="8"/>
      <c r="AA1734" s="8"/>
      <c r="AB1734" s="8"/>
      <c r="AC1734" s="8"/>
      <c r="AD1734" s="14"/>
      <c r="AE1734" s="8"/>
      <c r="AF1734" s="8"/>
      <c r="AG1734" s="8"/>
      <c r="AH1734" s="8"/>
    </row>
    <row r="1735" spans="6:34" x14ac:dyDescent="0.25">
      <c r="F1735" s="16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17"/>
      <c r="T1735" s="8"/>
      <c r="U1735" s="8"/>
      <c r="V1735" s="8"/>
      <c r="W1735" s="8"/>
      <c r="X1735" s="8"/>
      <c r="Y1735" s="8"/>
      <c r="Z1735" s="8"/>
      <c r="AA1735" s="8"/>
      <c r="AB1735" s="8"/>
      <c r="AC1735" s="8"/>
      <c r="AD1735" s="14"/>
      <c r="AE1735" s="8"/>
      <c r="AF1735" s="8"/>
      <c r="AG1735" s="8"/>
      <c r="AH1735" s="8"/>
    </row>
    <row r="1736" spans="6:34" x14ac:dyDescent="0.25">
      <c r="F1736" s="16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17"/>
      <c r="T1736" s="8"/>
      <c r="U1736" s="8"/>
      <c r="V1736" s="8"/>
      <c r="W1736" s="8"/>
      <c r="X1736" s="8"/>
      <c r="Y1736" s="8"/>
      <c r="Z1736" s="8"/>
      <c r="AA1736" s="8"/>
      <c r="AB1736" s="8"/>
      <c r="AC1736" s="8"/>
      <c r="AD1736" s="14"/>
      <c r="AE1736" s="8"/>
      <c r="AF1736" s="8"/>
      <c r="AG1736" s="8"/>
      <c r="AH1736" s="8"/>
    </row>
    <row r="1737" spans="6:34" x14ac:dyDescent="0.25">
      <c r="F1737" s="16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17"/>
      <c r="T1737" s="8"/>
      <c r="U1737" s="8"/>
      <c r="V1737" s="8"/>
      <c r="W1737" s="8"/>
      <c r="X1737" s="8"/>
      <c r="Y1737" s="8"/>
      <c r="Z1737" s="8"/>
      <c r="AA1737" s="8"/>
      <c r="AB1737" s="8"/>
      <c r="AC1737" s="8"/>
      <c r="AD1737" s="14"/>
      <c r="AE1737" s="8"/>
      <c r="AF1737" s="8"/>
      <c r="AG1737" s="8"/>
      <c r="AH1737" s="8"/>
    </row>
    <row r="1738" spans="6:34" x14ac:dyDescent="0.25">
      <c r="F1738" s="16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17"/>
      <c r="T1738" s="8"/>
      <c r="U1738" s="8"/>
      <c r="V1738" s="8"/>
      <c r="W1738" s="8"/>
      <c r="X1738" s="8"/>
      <c r="Y1738" s="8"/>
      <c r="Z1738" s="8"/>
      <c r="AA1738" s="8"/>
      <c r="AB1738" s="8"/>
      <c r="AC1738" s="8"/>
      <c r="AD1738" s="14"/>
      <c r="AE1738" s="8"/>
      <c r="AF1738" s="8"/>
      <c r="AG1738" s="8"/>
      <c r="AH1738" s="8"/>
    </row>
    <row r="1739" spans="6:34" x14ac:dyDescent="0.25">
      <c r="F1739" s="16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17"/>
      <c r="T1739" s="8"/>
      <c r="U1739" s="8"/>
      <c r="V1739" s="8"/>
      <c r="W1739" s="8"/>
      <c r="X1739" s="8"/>
      <c r="Y1739" s="8"/>
      <c r="Z1739" s="8"/>
      <c r="AA1739" s="8"/>
      <c r="AB1739" s="8"/>
      <c r="AC1739" s="8"/>
      <c r="AD1739" s="14"/>
      <c r="AE1739" s="8"/>
      <c r="AF1739" s="8"/>
      <c r="AG1739" s="8"/>
      <c r="AH1739" s="8"/>
    </row>
    <row r="1740" spans="6:34" x14ac:dyDescent="0.25">
      <c r="F1740" s="16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17"/>
      <c r="T1740" s="8"/>
      <c r="U1740" s="8"/>
      <c r="V1740" s="8"/>
      <c r="W1740" s="8"/>
      <c r="X1740" s="8"/>
      <c r="Y1740" s="8"/>
      <c r="Z1740" s="8"/>
      <c r="AA1740" s="8"/>
      <c r="AB1740" s="8"/>
      <c r="AC1740" s="8"/>
      <c r="AD1740" s="14"/>
      <c r="AE1740" s="8"/>
      <c r="AF1740" s="8"/>
      <c r="AG1740" s="8"/>
      <c r="AH1740" s="8"/>
    </row>
    <row r="1741" spans="6:34" x14ac:dyDescent="0.25">
      <c r="F1741" s="16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17"/>
      <c r="T1741" s="8"/>
      <c r="U1741" s="8"/>
      <c r="V1741" s="8"/>
      <c r="W1741" s="8"/>
      <c r="X1741" s="8"/>
      <c r="Y1741" s="8"/>
      <c r="Z1741" s="8"/>
      <c r="AA1741" s="8"/>
      <c r="AB1741" s="8"/>
      <c r="AC1741" s="8"/>
      <c r="AD1741" s="14"/>
      <c r="AE1741" s="8"/>
      <c r="AF1741" s="8"/>
      <c r="AG1741" s="8"/>
      <c r="AH1741" s="8"/>
    </row>
    <row r="1742" spans="6:34" x14ac:dyDescent="0.25">
      <c r="F1742" s="16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17"/>
      <c r="T1742" s="8"/>
      <c r="U1742" s="8"/>
      <c r="V1742" s="8"/>
      <c r="W1742" s="8"/>
      <c r="X1742" s="8"/>
      <c r="Y1742" s="8"/>
      <c r="Z1742" s="8"/>
      <c r="AA1742" s="8"/>
      <c r="AB1742" s="8"/>
      <c r="AC1742" s="8"/>
      <c r="AD1742" s="14"/>
      <c r="AE1742" s="8"/>
      <c r="AF1742" s="8"/>
      <c r="AG1742" s="8"/>
      <c r="AH1742" s="8"/>
    </row>
    <row r="1743" spans="6:34" x14ac:dyDescent="0.25">
      <c r="F1743" s="16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17"/>
      <c r="T1743" s="8"/>
      <c r="U1743" s="8"/>
      <c r="V1743" s="8"/>
      <c r="W1743" s="8"/>
      <c r="X1743" s="8"/>
      <c r="Y1743" s="8"/>
      <c r="Z1743" s="8"/>
      <c r="AA1743" s="8"/>
      <c r="AB1743" s="8"/>
      <c r="AC1743" s="8"/>
      <c r="AD1743" s="14"/>
      <c r="AE1743" s="8"/>
      <c r="AF1743" s="8"/>
      <c r="AG1743" s="8"/>
      <c r="AH1743" s="8"/>
    </row>
    <row r="1744" spans="6:34" x14ac:dyDescent="0.25">
      <c r="F1744" s="16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17"/>
      <c r="T1744" s="8"/>
      <c r="U1744" s="8"/>
      <c r="V1744" s="8"/>
      <c r="W1744" s="8"/>
      <c r="X1744" s="8"/>
      <c r="Y1744" s="8"/>
      <c r="Z1744" s="8"/>
      <c r="AA1744" s="8"/>
      <c r="AB1744" s="8"/>
      <c r="AC1744" s="8"/>
      <c r="AD1744" s="14"/>
      <c r="AE1744" s="8"/>
      <c r="AF1744" s="8"/>
      <c r="AG1744" s="8"/>
      <c r="AH1744" s="8"/>
    </row>
    <row r="1745" spans="6:34" x14ac:dyDescent="0.25">
      <c r="F1745" s="16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17"/>
      <c r="T1745" s="8"/>
      <c r="U1745" s="8"/>
      <c r="V1745" s="8"/>
      <c r="W1745" s="8"/>
      <c r="X1745" s="8"/>
      <c r="Y1745" s="8"/>
      <c r="Z1745" s="8"/>
      <c r="AA1745" s="8"/>
      <c r="AB1745" s="8"/>
      <c r="AC1745" s="8"/>
      <c r="AD1745" s="14"/>
      <c r="AE1745" s="8"/>
      <c r="AF1745" s="8"/>
      <c r="AG1745" s="8"/>
      <c r="AH1745" s="8"/>
    </row>
    <row r="1746" spans="6:34" x14ac:dyDescent="0.25">
      <c r="F1746" s="16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17"/>
      <c r="T1746" s="8"/>
      <c r="U1746" s="8"/>
      <c r="V1746" s="8"/>
      <c r="W1746" s="8"/>
      <c r="X1746" s="8"/>
      <c r="Y1746" s="8"/>
      <c r="Z1746" s="8"/>
      <c r="AA1746" s="8"/>
      <c r="AB1746" s="8"/>
      <c r="AC1746" s="8"/>
      <c r="AD1746" s="14"/>
      <c r="AE1746" s="8"/>
      <c r="AF1746" s="8"/>
      <c r="AG1746" s="8"/>
      <c r="AH1746" s="8"/>
    </row>
    <row r="1747" spans="6:34" x14ac:dyDescent="0.25">
      <c r="F1747" s="16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17"/>
      <c r="T1747" s="8"/>
      <c r="U1747" s="8"/>
      <c r="V1747" s="8"/>
      <c r="W1747" s="8"/>
      <c r="X1747" s="8"/>
      <c r="Y1747" s="8"/>
      <c r="Z1747" s="8"/>
      <c r="AA1747" s="8"/>
      <c r="AB1747" s="8"/>
      <c r="AC1747" s="8"/>
      <c r="AD1747" s="14"/>
      <c r="AE1747" s="8"/>
      <c r="AF1747" s="8"/>
      <c r="AG1747" s="8"/>
      <c r="AH1747" s="8"/>
    </row>
    <row r="1748" spans="6:34" x14ac:dyDescent="0.25">
      <c r="F1748" s="16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17"/>
      <c r="T1748" s="8"/>
      <c r="U1748" s="8"/>
      <c r="V1748" s="8"/>
      <c r="W1748" s="8"/>
      <c r="X1748" s="8"/>
      <c r="Y1748" s="8"/>
      <c r="Z1748" s="8"/>
      <c r="AA1748" s="8"/>
      <c r="AB1748" s="8"/>
      <c r="AC1748" s="8"/>
      <c r="AD1748" s="14"/>
      <c r="AE1748" s="8"/>
      <c r="AF1748" s="8"/>
      <c r="AG1748" s="8"/>
      <c r="AH1748" s="8"/>
    </row>
    <row r="1749" spans="6:34" x14ac:dyDescent="0.25">
      <c r="F1749" s="16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17"/>
      <c r="T1749" s="8"/>
      <c r="U1749" s="8"/>
      <c r="V1749" s="8"/>
      <c r="W1749" s="8"/>
      <c r="X1749" s="8"/>
      <c r="Y1749" s="8"/>
      <c r="Z1749" s="8"/>
      <c r="AA1749" s="8"/>
      <c r="AB1749" s="8"/>
      <c r="AC1749" s="8"/>
      <c r="AD1749" s="14"/>
      <c r="AE1749" s="8"/>
      <c r="AF1749" s="8"/>
      <c r="AG1749" s="8"/>
      <c r="AH1749" s="8"/>
    </row>
    <row r="1750" spans="6:34" x14ac:dyDescent="0.25">
      <c r="F1750" s="16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17"/>
      <c r="T1750" s="8"/>
      <c r="U1750" s="8"/>
      <c r="V1750" s="8"/>
      <c r="W1750" s="8"/>
      <c r="X1750" s="8"/>
      <c r="Y1750" s="8"/>
      <c r="Z1750" s="8"/>
      <c r="AA1750" s="8"/>
      <c r="AB1750" s="8"/>
      <c r="AC1750" s="8"/>
      <c r="AD1750" s="14"/>
      <c r="AE1750" s="8"/>
      <c r="AF1750" s="8"/>
      <c r="AG1750" s="8"/>
      <c r="AH1750" s="8"/>
    </row>
    <row r="1751" spans="6:34" x14ac:dyDescent="0.25">
      <c r="F1751" s="16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17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14"/>
      <c r="AE1751" s="8"/>
      <c r="AF1751" s="8"/>
      <c r="AG1751" s="8"/>
      <c r="AH1751" s="8"/>
    </row>
    <row r="1752" spans="6:34" x14ac:dyDescent="0.25">
      <c r="F1752" s="16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17"/>
      <c r="T1752" s="8"/>
      <c r="U1752" s="8"/>
      <c r="V1752" s="8"/>
      <c r="W1752" s="8"/>
      <c r="X1752" s="8"/>
      <c r="Y1752" s="8"/>
      <c r="Z1752" s="8"/>
      <c r="AA1752" s="8"/>
      <c r="AB1752" s="8"/>
      <c r="AC1752" s="8"/>
      <c r="AD1752" s="14"/>
      <c r="AE1752" s="8"/>
      <c r="AF1752" s="8"/>
      <c r="AG1752" s="8"/>
      <c r="AH1752" s="8"/>
    </row>
    <row r="1753" spans="6:34" x14ac:dyDescent="0.25">
      <c r="F1753" s="16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17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14"/>
      <c r="AE1753" s="8"/>
      <c r="AF1753" s="8"/>
      <c r="AG1753" s="8"/>
      <c r="AH1753" s="8"/>
    </row>
    <row r="1754" spans="6:34" x14ac:dyDescent="0.25">
      <c r="F1754" s="16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17"/>
      <c r="T1754" s="8"/>
      <c r="U1754" s="8"/>
      <c r="V1754" s="8"/>
      <c r="W1754" s="8"/>
      <c r="X1754" s="8"/>
      <c r="Y1754" s="8"/>
      <c r="Z1754" s="8"/>
      <c r="AA1754" s="8"/>
      <c r="AB1754" s="8"/>
      <c r="AC1754" s="8"/>
      <c r="AD1754" s="14"/>
      <c r="AE1754" s="8"/>
      <c r="AF1754" s="8"/>
      <c r="AG1754" s="8"/>
      <c r="AH1754" s="8"/>
    </row>
    <row r="1755" spans="6:34" x14ac:dyDescent="0.25">
      <c r="F1755" s="16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17"/>
      <c r="T1755" s="8"/>
      <c r="U1755" s="8"/>
      <c r="V1755" s="8"/>
      <c r="W1755" s="8"/>
      <c r="X1755" s="8"/>
      <c r="Y1755" s="8"/>
      <c r="Z1755" s="8"/>
      <c r="AA1755" s="8"/>
      <c r="AB1755" s="8"/>
      <c r="AC1755" s="8"/>
      <c r="AD1755" s="14"/>
      <c r="AE1755" s="8"/>
      <c r="AF1755" s="8"/>
      <c r="AG1755" s="8"/>
      <c r="AH1755" s="8"/>
    </row>
    <row r="1756" spans="6:34" x14ac:dyDescent="0.25">
      <c r="F1756" s="16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17"/>
      <c r="T1756" s="8"/>
      <c r="U1756" s="8"/>
      <c r="V1756" s="8"/>
      <c r="W1756" s="8"/>
      <c r="X1756" s="8"/>
      <c r="Y1756" s="8"/>
      <c r="Z1756" s="8"/>
      <c r="AA1756" s="8"/>
      <c r="AB1756" s="8"/>
      <c r="AC1756" s="8"/>
      <c r="AD1756" s="14"/>
      <c r="AE1756" s="8"/>
      <c r="AF1756" s="8"/>
      <c r="AG1756" s="8"/>
      <c r="AH1756" s="8"/>
    </row>
    <row r="1757" spans="6:34" x14ac:dyDescent="0.25">
      <c r="F1757" s="16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17"/>
      <c r="T1757" s="8"/>
      <c r="U1757" s="8"/>
      <c r="V1757" s="8"/>
      <c r="W1757" s="8"/>
      <c r="X1757" s="8"/>
      <c r="Y1757" s="8"/>
      <c r="Z1757" s="8"/>
      <c r="AA1757" s="8"/>
      <c r="AB1757" s="8"/>
      <c r="AC1757" s="8"/>
      <c r="AD1757" s="14"/>
      <c r="AE1757" s="8"/>
      <c r="AF1757" s="8"/>
      <c r="AG1757" s="8"/>
      <c r="AH1757" s="8"/>
    </row>
    <row r="1758" spans="6:34" x14ac:dyDescent="0.25">
      <c r="F1758" s="16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17"/>
      <c r="T1758" s="8"/>
      <c r="U1758" s="8"/>
      <c r="V1758" s="8"/>
      <c r="W1758" s="8"/>
      <c r="X1758" s="8"/>
      <c r="Y1758" s="8"/>
      <c r="Z1758" s="8"/>
      <c r="AA1758" s="8"/>
      <c r="AB1758" s="8"/>
      <c r="AC1758" s="8"/>
      <c r="AD1758" s="14"/>
      <c r="AE1758" s="8"/>
      <c r="AF1758" s="8"/>
      <c r="AG1758" s="8"/>
      <c r="AH1758" s="8"/>
    </row>
    <row r="1759" spans="6:34" x14ac:dyDescent="0.25">
      <c r="F1759" s="16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17"/>
      <c r="T1759" s="8"/>
      <c r="U1759" s="8"/>
      <c r="V1759" s="8"/>
      <c r="W1759" s="8"/>
      <c r="X1759" s="8"/>
      <c r="Y1759" s="8"/>
      <c r="Z1759" s="8"/>
      <c r="AA1759" s="8"/>
      <c r="AB1759" s="8"/>
      <c r="AC1759" s="8"/>
      <c r="AD1759" s="14"/>
      <c r="AE1759" s="8"/>
      <c r="AF1759" s="8"/>
      <c r="AG1759" s="8"/>
      <c r="AH1759" s="8"/>
    </row>
    <row r="1760" spans="6:34" x14ac:dyDescent="0.25">
      <c r="F1760" s="16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17"/>
      <c r="T1760" s="8"/>
      <c r="U1760" s="8"/>
      <c r="V1760" s="8"/>
      <c r="W1760" s="8"/>
      <c r="X1760" s="8"/>
      <c r="Y1760" s="8"/>
      <c r="Z1760" s="8"/>
      <c r="AA1760" s="8"/>
      <c r="AB1760" s="8"/>
      <c r="AC1760" s="8"/>
      <c r="AD1760" s="14"/>
      <c r="AE1760" s="8"/>
      <c r="AF1760" s="8"/>
      <c r="AG1760" s="8"/>
      <c r="AH1760" s="8"/>
    </row>
    <row r="1761" spans="6:34" x14ac:dyDescent="0.25">
      <c r="F1761" s="16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17"/>
      <c r="T1761" s="8"/>
      <c r="U1761" s="8"/>
      <c r="V1761" s="8"/>
      <c r="W1761" s="8"/>
      <c r="X1761" s="8"/>
      <c r="Y1761" s="8"/>
      <c r="Z1761" s="8"/>
      <c r="AA1761" s="8"/>
      <c r="AB1761" s="8"/>
      <c r="AC1761" s="8"/>
      <c r="AD1761" s="14"/>
      <c r="AE1761" s="8"/>
      <c r="AF1761" s="8"/>
      <c r="AG1761" s="8"/>
      <c r="AH1761" s="8"/>
    </row>
    <row r="1762" spans="6:34" x14ac:dyDescent="0.25">
      <c r="F1762" s="16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17"/>
      <c r="T1762" s="8"/>
      <c r="U1762" s="8"/>
      <c r="V1762" s="8"/>
      <c r="W1762" s="8"/>
      <c r="X1762" s="8"/>
      <c r="Y1762" s="8"/>
      <c r="Z1762" s="8"/>
      <c r="AA1762" s="8"/>
      <c r="AB1762" s="8"/>
      <c r="AC1762" s="8"/>
      <c r="AD1762" s="14"/>
      <c r="AE1762" s="8"/>
      <c r="AF1762" s="8"/>
      <c r="AG1762" s="8"/>
      <c r="AH1762" s="8"/>
    </row>
    <row r="1763" spans="6:34" x14ac:dyDescent="0.25">
      <c r="F1763" s="16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17"/>
      <c r="T1763" s="8"/>
      <c r="U1763" s="8"/>
      <c r="V1763" s="8"/>
      <c r="W1763" s="8"/>
      <c r="X1763" s="8"/>
      <c r="Y1763" s="8"/>
      <c r="Z1763" s="8"/>
      <c r="AA1763" s="8"/>
      <c r="AB1763" s="8"/>
      <c r="AC1763" s="8"/>
      <c r="AD1763" s="14"/>
      <c r="AE1763" s="8"/>
      <c r="AF1763" s="8"/>
      <c r="AG1763" s="8"/>
      <c r="AH1763" s="8"/>
    </row>
    <row r="1764" spans="6:34" x14ac:dyDescent="0.25">
      <c r="F1764" s="16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17"/>
      <c r="T1764" s="8"/>
      <c r="U1764" s="8"/>
      <c r="V1764" s="8"/>
      <c r="W1764" s="8"/>
      <c r="X1764" s="8"/>
      <c r="Y1764" s="8"/>
      <c r="Z1764" s="8"/>
      <c r="AA1764" s="8"/>
      <c r="AB1764" s="8"/>
      <c r="AC1764" s="8"/>
      <c r="AD1764" s="14"/>
      <c r="AE1764" s="8"/>
      <c r="AF1764" s="8"/>
      <c r="AG1764" s="8"/>
      <c r="AH1764" s="8"/>
    </row>
    <row r="1765" spans="6:34" x14ac:dyDescent="0.25">
      <c r="F1765" s="16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17"/>
      <c r="T1765" s="8"/>
      <c r="U1765" s="8"/>
      <c r="V1765" s="8"/>
      <c r="W1765" s="8"/>
      <c r="X1765" s="8"/>
      <c r="Y1765" s="8"/>
      <c r="Z1765" s="8"/>
      <c r="AA1765" s="8"/>
      <c r="AB1765" s="8"/>
      <c r="AC1765" s="8"/>
      <c r="AD1765" s="14"/>
      <c r="AE1765" s="8"/>
      <c r="AF1765" s="8"/>
      <c r="AG1765" s="8"/>
      <c r="AH1765" s="8"/>
    </row>
    <row r="1766" spans="6:34" x14ac:dyDescent="0.25">
      <c r="F1766" s="16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17"/>
      <c r="T1766" s="8"/>
      <c r="U1766" s="8"/>
      <c r="V1766" s="8"/>
      <c r="W1766" s="8"/>
      <c r="X1766" s="8"/>
      <c r="Y1766" s="8"/>
      <c r="Z1766" s="8"/>
      <c r="AA1766" s="8"/>
      <c r="AB1766" s="8"/>
      <c r="AC1766" s="8"/>
      <c r="AD1766" s="14"/>
      <c r="AE1766" s="8"/>
      <c r="AF1766" s="8"/>
      <c r="AG1766" s="8"/>
      <c r="AH1766" s="8"/>
    </row>
    <row r="1767" spans="6:34" x14ac:dyDescent="0.25">
      <c r="F1767" s="16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17"/>
      <c r="T1767" s="8"/>
      <c r="U1767" s="8"/>
      <c r="V1767" s="8"/>
      <c r="W1767" s="8"/>
      <c r="X1767" s="8"/>
      <c r="Y1767" s="8"/>
      <c r="Z1767" s="8"/>
      <c r="AA1767" s="8"/>
      <c r="AB1767" s="8"/>
      <c r="AC1767" s="8"/>
      <c r="AD1767" s="14"/>
      <c r="AE1767" s="8"/>
      <c r="AF1767" s="8"/>
      <c r="AG1767" s="8"/>
      <c r="AH1767" s="8"/>
    </row>
    <row r="1768" spans="6:34" x14ac:dyDescent="0.25">
      <c r="F1768" s="16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17"/>
      <c r="T1768" s="8"/>
      <c r="U1768" s="8"/>
      <c r="V1768" s="8"/>
      <c r="W1768" s="8"/>
      <c r="X1768" s="8"/>
      <c r="Y1768" s="8"/>
      <c r="Z1768" s="8"/>
      <c r="AA1768" s="8"/>
      <c r="AB1768" s="8"/>
      <c r="AC1768" s="8"/>
      <c r="AD1768" s="14"/>
      <c r="AE1768" s="8"/>
      <c r="AF1768" s="8"/>
      <c r="AG1768" s="8"/>
      <c r="AH1768" s="8"/>
    </row>
    <row r="1769" spans="6:34" x14ac:dyDescent="0.25">
      <c r="F1769" s="16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17"/>
      <c r="T1769" s="8"/>
      <c r="U1769" s="8"/>
      <c r="V1769" s="8"/>
      <c r="W1769" s="8"/>
      <c r="X1769" s="8"/>
      <c r="Y1769" s="8"/>
      <c r="Z1769" s="8"/>
      <c r="AA1769" s="8"/>
      <c r="AB1769" s="8"/>
      <c r="AC1769" s="8"/>
      <c r="AD1769" s="14"/>
      <c r="AE1769" s="8"/>
      <c r="AF1769" s="8"/>
      <c r="AG1769" s="8"/>
      <c r="AH1769" s="8"/>
    </row>
    <row r="1770" spans="6:34" x14ac:dyDescent="0.25">
      <c r="F1770" s="16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17"/>
      <c r="T1770" s="8"/>
      <c r="U1770" s="8"/>
      <c r="V1770" s="8"/>
      <c r="W1770" s="8"/>
      <c r="X1770" s="8"/>
      <c r="Y1770" s="8"/>
      <c r="Z1770" s="8"/>
      <c r="AA1770" s="8"/>
      <c r="AB1770" s="8"/>
      <c r="AC1770" s="8"/>
      <c r="AD1770" s="14"/>
      <c r="AE1770" s="8"/>
      <c r="AF1770" s="8"/>
      <c r="AG1770" s="8"/>
      <c r="AH1770" s="8"/>
    </row>
    <row r="1771" spans="6:34" x14ac:dyDescent="0.25">
      <c r="F1771" s="16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17"/>
      <c r="T1771" s="8"/>
      <c r="U1771" s="8"/>
      <c r="V1771" s="8"/>
      <c r="W1771" s="8"/>
      <c r="X1771" s="8"/>
      <c r="Y1771" s="8"/>
      <c r="Z1771" s="8"/>
      <c r="AA1771" s="8"/>
      <c r="AB1771" s="8"/>
      <c r="AC1771" s="8"/>
      <c r="AD1771" s="14"/>
      <c r="AE1771" s="8"/>
      <c r="AF1771" s="8"/>
      <c r="AG1771" s="8"/>
      <c r="AH1771" s="8"/>
    </row>
    <row r="1772" spans="6:34" x14ac:dyDescent="0.25">
      <c r="F1772" s="16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17"/>
      <c r="T1772" s="8"/>
      <c r="U1772" s="8"/>
      <c r="V1772" s="8"/>
      <c r="W1772" s="8"/>
      <c r="X1772" s="8"/>
      <c r="Y1772" s="8"/>
      <c r="Z1772" s="8"/>
      <c r="AA1772" s="8"/>
      <c r="AB1772" s="8"/>
      <c r="AC1772" s="8"/>
      <c r="AD1772" s="14"/>
      <c r="AE1772" s="8"/>
      <c r="AF1772" s="8"/>
      <c r="AG1772" s="8"/>
      <c r="AH1772" s="8"/>
    </row>
    <row r="1773" spans="6:34" x14ac:dyDescent="0.25">
      <c r="F1773" s="16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17"/>
      <c r="T1773" s="8"/>
      <c r="U1773" s="8"/>
      <c r="V1773" s="8"/>
      <c r="W1773" s="8"/>
      <c r="X1773" s="8"/>
      <c r="Y1773" s="8"/>
      <c r="Z1773" s="8"/>
      <c r="AA1773" s="8"/>
      <c r="AB1773" s="8"/>
      <c r="AC1773" s="8"/>
      <c r="AD1773" s="14"/>
      <c r="AE1773" s="8"/>
      <c r="AF1773" s="8"/>
      <c r="AG1773" s="8"/>
      <c r="AH1773" s="8"/>
    </row>
    <row r="1774" spans="6:34" x14ac:dyDescent="0.25">
      <c r="F1774" s="16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17"/>
      <c r="T1774" s="8"/>
      <c r="U1774" s="8"/>
      <c r="V1774" s="8"/>
      <c r="W1774" s="8"/>
      <c r="X1774" s="8"/>
      <c r="Y1774" s="8"/>
      <c r="Z1774" s="8"/>
      <c r="AA1774" s="8"/>
      <c r="AB1774" s="8"/>
      <c r="AC1774" s="8"/>
      <c r="AD1774" s="14"/>
      <c r="AE1774" s="8"/>
      <c r="AF1774" s="8"/>
      <c r="AG1774" s="8"/>
      <c r="AH1774" s="8"/>
    </row>
    <row r="1775" spans="6:34" x14ac:dyDescent="0.25">
      <c r="F1775" s="16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17"/>
      <c r="T1775" s="8"/>
      <c r="U1775" s="8"/>
      <c r="V1775" s="8"/>
      <c r="W1775" s="8"/>
      <c r="X1775" s="8"/>
      <c r="Y1775" s="8"/>
      <c r="Z1775" s="8"/>
      <c r="AA1775" s="8"/>
      <c r="AB1775" s="8"/>
      <c r="AC1775" s="8"/>
      <c r="AD1775" s="14"/>
      <c r="AE1775" s="8"/>
      <c r="AF1775" s="8"/>
      <c r="AG1775" s="8"/>
      <c r="AH1775" s="8"/>
    </row>
    <row r="1776" spans="6:34" x14ac:dyDescent="0.25">
      <c r="F1776" s="16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17"/>
      <c r="T1776" s="8"/>
      <c r="U1776" s="8"/>
      <c r="V1776" s="8"/>
      <c r="W1776" s="8"/>
      <c r="X1776" s="8"/>
      <c r="Y1776" s="8"/>
      <c r="Z1776" s="8"/>
      <c r="AA1776" s="8"/>
      <c r="AB1776" s="8"/>
      <c r="AC1776" s="8"/>
      <c r="AD1776" s="14"/>
      <c r="AE1776" s="8"/>
      <c r="AF1776" s="8"/>
      <c r="AG1776" s="8"/>
      <c r="AH1776" s="8"/>
    </row>
    <row r="1777" spans="6:34" x14ac:dyDescent="0.25">
      <c r="F1777" s="16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17"/>
      <c r="T1777" s="8"/>
      <c r="U1777" s="8"/>
      <c r="V1777" s="8"/>
      <c r="W1777" s="8"/>
      <c r="X1777" s="8"/>
      <c r="Y1777" s="8"/>
      <c r="Z1777" s="8"/>
      <c r="AA1777" s="8"/>
      <c r="AB1777" s="8"/>
      <c r="AC1777" s="8"/>
      <c r="AD1777" s="14"/>
      <c r="AE1777" s="8"/>
      <c r="AF1777" s="8"/>
      <c r="AG1777" s="8"/>
      <c r="AH1777" s="8"/>
    </row>
    <row r="1778" spans="6:34" x14ac:dyDescent="0.25">
      <c r="F1778" s="16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17"/>
      <c r="T1778" s="8"/>
      <c r="U1778" s="8"/>
      <c r="V1778" s="8"/>
      <c r="W1778" s="8"/>
      <c r="X1778" s="8"/>
      <c r="Y1778" s="8"/>
      <c r="Z1778" s="8"/>
      <c r="AA1778" s="8"/>
      <c r="AB1778" s="8"/>
      <c r="AC1778" s="8"/>
      <c r="AD1778" s="14"/>
      <c r="AE1778" s="8"/>
      <c r="AF1778" s="8"/>
      <c r="AG1778" s="8"/>
      <c r="AH1778" s="8"/>
    </row>
    <row r="1779" spans="6:34" x14ac:dyDescent="0.25">
      <c r="F1779" s="16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17"/>
      <c r="T1779" s="8"/>
      <c r="U1779" s="8"/>
      <c r="V1779" s="8"/>
      <c r="W1779" s="8"/>
      <c r="X1779" s="8"/>
      <c r="Y1779" s="8"/>
      <c r="Z1779" s="8"/>
      <c r="AA1779" s="8"/>
      <c r="AB1779" s="8"/>
      <c r="AC1779" s="8"/>
      <c r="AD1779" s="14"/>
      <c r="AE1779" s="8"/>
      <c r="AF1779" s="8"/>
      <c r="AG1779" s="8"/>
      <c r="AH1779" s="8"/>
    </row>
    <row r="1780" spans="6:34" x14ac:dyDescent="0.25">
      <c r="F1780" s="16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17"/>
      <c r="T1780" s="8"/>
      <c r="U1780" s="8"/>
      <c r="V1780" s="8"/>
      <c r="W1780" s="8"/>
      <c r="X1780" s="8"/>
      <c r="Y1780" s="8"/>
      <c r="Z1780" s="8"/>
      <c r="AA1780" s="8"/>
      <c r="AB1780" s="8"/>
      <c r="AC1780" s="8"/>
      <c r="AD1780" s="14"/>
      <c r="AE1780" s="8"/>
      <c r="AF1780" s="8"/>
      <c r="AG1780" s="8"/>
      <c r="AH1780" s="8"/>
    </row>
    <row r="1781" spans="6:34" x14ac:dyDescent="0.25">
      <c r="F1781" s="16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17"/>
      <c r="T1781" s="8"/>
      <c r="U1781" s="8"/>
      <c r="V1781" s="8"/>
      <c r="W1781" s="8"/>
      <c r="X1781" s="8"/>
      <c r="Y1781" s="8"/>
      <c r="Z1781" s="8"/>
      <c r="AA1781" s="8"/>
      <c r="AB1781" s="8"/>
      <c r="AC1781" s="8"/>
      <c r="AD1781" s="14"/>
      <c r="AE1781" s="8"/>
      <c r="AF1781" s="8"/>
      <c r="AG1781" s="8"/>
      <c r="AH1781" s="8"/>
    </row>
    <row r="1782" spans="6:34" x14ac:dyDescent="0.25">
      <c r="F1782" s="16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17"/>
      <c r="T1782" s="8"/>
      <c r="U1782" s="8"/>
      <c r="V1782" s="8"/>
      <c r="W1782" s="8"/>
      <c r="X1782" s="8"/>
      <c r="Y1782" s="8"/>
      <c r="Z1782" s="8"/>
      <c r="AA1782" s="8"/>
      <c r="AB1782" s="8"/>
      <c r="AC1782" s="8"/>
      <c r="AD1782" s="14"/>
      <c r="AE1782" s="8"/>
      <c r="AF1782" s="8"/>
      <c r="AG1782" s="8"/>
      <c r="AH1782" s="8"/>
    </row>
    <row r="1783" spans="6:34" x14ac:dyDescent="0.25">
      <c r="F1783" s="16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17"/>
      <c r="T1783" s="8"/>
      <c r="U1783" s="8"/>
      <c r="V1783" s="8"/>
      <c r="W1783" s="8"/>
      <c r="X1783" s="8"/>
      <c r="Y1783" s="8"/>
      <c r="Z1783" s="8"/>
      <c r="AA1783" s="8"/>
      <c r="AB1783" s="8"/>
      <c r="AC1783" s="8"/>
      <c r="AD1783" s="14"/>
      <c r="AE1783" s="8"/>
      <c r="AF1783" s="8"/>
      <c r="AG1783" s="8"/>
      <c r="AH1783" s="8"/>
    </row>
    <row r="1784" spans="6:34" x14ac:dyDescent="0.25">
      <c r="F1784" s="16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17"/>
      <c r="T1784" s="8"/>
      <c r="U1784" s="8"/>
      <c r="V1784" s="8"/>
      <c r="W1784" s="8"/>
      <c r="X1784" s="8"/>
      <c r="Y1784" s="8"/>
      <c r="Z1784" s="8"/>
      <c r="AA1784" s="8"/>
      <c r="AB1784" s="8"/>
      <c r="AC1784" s="8"/>
      <c r="AD1784" s="14"/>
      <c r="AE1784" s="8"/>
      <c r="AF1784" s="8"/>
      <c r="AG1784" s="8"/>
      <c r="AH1784" s="8"/>
    </row>
    <row r="1785" spans="6:34" x14ac:dyDescent="0.25">
      <c r="F1785" s="16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17"/>
      <c r="T1785" s="8"/>
      <c r="U1785" s="8"/>
      <c r="V1785" s="8"/>
      <c r="W1785" s="8"/>
      <c r="X1785" s="8"/>
      <c r="Y1785" s="8"/>
      <c r="Z1785" s="8"/>
      <c r="AA1785" s="8"/>
      <c r="AB1785" s="8"/>
      <c r="AC1785" s="8"/>
      <c r="AD1785" s="14"/>
      <c r="AE1785" s="8"/>
      <c r="AF1785" s="8"/>
      <c r="AG1785" s="8"/>
      <c r="AH1785" s="8"/>
    </row>
    <row r="1786" spans="6:34" x14ac:dyDescent="0.25">
      <c r="F1786" s="16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17"/>
      <c r="T1786" s="8"/>
      <c r="U1786" s="8"/>
      <c r="V1786" s="8"/>
      <c r="W1786" s="8"/>
      <c r="X1786" s="8"/>
      <c r="Y1786" s="8"/>
      <c r="Z1786" s="8"/>
      <c r="AA1786" s="8"/>
      <c r="AB1786" s="8"/>
      <c r="AC1786" s="8"/>
      <c r="AD1786" s="14"/>
      <c r="AE1786" s="8"/>
      <c r="AF1786" s="8"/>
      <c r="AG1786" s="8"/>
      <c r="AH1786" s="8"/>
    </row>
    <row r="1787" spans="6:34" x14ac:dyDescent="0.25">
      <c r="F1787" s="16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17"/>
      <c r="T1787" s="8"/>
      <c r="U1787" s="8"/>
      <c r="V1787" s="8"/>
      <c r="W1787" s="8"/>
      <c r="X1787" s="8"/>
      <c r="Y1787" s="8"/>
      <c r="Z1787" s="8"/>
      <c r="AA1787" s="8"/>
      <c r="AB1787" s="8"/>
      <c r="AC1787" s="8"/>
      <c r="AD1787" s="14"/>
      <c r="AE1787" s="8"/>
      <c r="AF1787" s="8"/>
      <c r="AG1787" s="8"/>
      <c r="AH1787" s="8"/>
    </row>
    <row r="1788" spans="6:34" x14ac:dyDescent="0.25">
      <c r="F1788" s="16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17"/>
      <c r="T1788" s="8"/>
      <c r="U1788" s="8"/>
      <c r="V1788" s="8"/>
      <c r="W1788" s="8"/>
      <c r="X1788" s="8"/>
      <c r="Y1788" s="8"/>
      <c r="Z1788" s="8"/>
      <c r="AA1788" s="8"/>
      <c r="AB1788" s="8"/>
      <c r="AC1788" s="8"/>
      <c r="AD1788" s="14"/>
      <c r="AE1788" s="8"/>
      <c r="AF1788" s="8"/>
      <c r="AG1788" s="8"/>
      <c r="AH1788" s="8"/>
    </row>
    <row r="1789" spans="6:34" x14ac:dyDescent="0.25">
      <c r="F1789" s="16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17"/>
      <c r="T1789" s="8"/>
      <c r="U1789" s="8"/>
      <c r="V1789" s="8"/>
      <c r="W1789" s="8"/>
      <c r="X1789" s="8"/>
      <c r="Y1789" s="8"/>
      <c r="Z1789" s="8"/>
      <c r="AA1789" s="8"/>
      <c r="AB1789" s="8"/>
      <c r="AC1789" s="8"/>
      <c r="AD1789" s="14"/>
      <c r="AE1789" s="8"/>
      <c r="AF1789" s="8"/>
      <c r="AG1789" s="8"/>
      <c r="AH1789" s="8"/>
    </row>
    <row r="1790" spans="6:34" x14ac:dyDescent="0.25">
      <c r="F1790" s="16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17"/>
      <c r="T1790" s="8"/>
      <c r="U1790" s="8"/>
      <c r="V1790" s="8"/>
      <c r="W1790" s="8"/>
      <c r="X1790" s="8"/>
      <c r="Y1790" s="8"/>
      <c r="Z1790" s="8"/>
      <c r="AA1790" s="8"/>
      <c r="AB1790" s="8"/>
      <c r="AC1790" s="8"/>
      <c r="AD1790" s="14"/>
      <c r="AE1790" s="8"/>
      <c r="AF1790" s="8"/>
      <c r="AG1790" s="8"/>
      <c r="AH1790" s="8"/>
    </row>
    <row r="1791" spans="6:34" x14ac:dyDescent="0.25">
      <c r="F1791" s="16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17"/>
      <c r="T1791" s="8"/>
      <c r="U1791" s="8"/>
      <c r="V1791" s="8"/>
      <c r="W1791" s="8"/>
      <c r="X1791" s="8"/>
      <c r="Y1791" s="8"/>
      <c r="Z1791" s="8"/>
      <c r="AA1791" s="8"/>
      <c r="AB1791" s="8"/>
      <c r="AC1791" s="8"/>
      <c r="AD1791" s="14"/>
      <c r="AE1791" s="8"/>
      <c r="AF1791" s="8"/>
      <c r="AG1791" s="8"/>
      <c r="AH1791" s="8"/>
    </row>
    <row r="1792" spans="6:34" x14ac:dyDescent="0.25">
      <c r="F1792" s="16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17"/>
      <c r="T1792" s="8"/>
      <c r="U1792" s="8"/>
      <c r="V1792" s="8"/>
      <c r="W1792" s="8"/>
      <c r="X1792" s="8"/>
      <c r="Y1792" s="8"/>
      <c r="Z1792" s="8"/>
      <c r="AA1792" s="8"/>
      <c r="AB1792" s="8"/>
      <c r="AC1792" s="8"/>
      <c r="AD1792" s="14"/>
      <c r="AE1792" s="8"/>
      <c r="AF1792" s="8"/>
      <c r="AG1792" s="8"/>
      <c r="AH1792" s="8"/>
    </row>
    <row r="1793" spans="6:34" x14ac:dyDescent="0.25">
      <c r="F1793" s="16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17"/>
      <c r="T1793" s="8"/>
      <c r="U1793" s="8"/>
      <c r="V1793" s="8"/>
      <c r="W1793" s="8"/>
      <c r="X1793" s="8"/>
      <c r="Y1793" s="8"/>
      <c r="Z1793" s="8"/>
      <c r="AA1793" s="8"/>
      <c r="AB1793" s="8"/>
      <c r="AC1793" s="8"/>
      <c r="AD1793" s="14"/>
      <c r="AE1793" s="8"/>
      <c r="AF1793" s="8"/>
      <c r="AG1793" s="8"/>
      <c r="AH1793" s="8"/>
    </row>
    <row r="1794" spans="6:34" x14ac:dyDescent="0.25">
      <c r="F1794" s="16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17"/>
      <c r="T1794" s="8"/>
      <c r="U1794" s="8"/>
      <c r="V1794" s="8"/>
      <c r="W1794" s="8"/>
      <c r="X1794" s="8"/>
      <c r="Y1794" s="8"/>
      <c r="Z1794" s="8"/>
      <c r="AA1794" s="8"/>
      <c r="AB1794" s="8"/>
      <c r="AC1794" s="8"/>
      <c r="AD1794" s="14"/>
      <c r="AE1794" s="8"/>
      <c r="AF1794" s="8"/>
      <c r="AG1794" s="8"/>
      <c r="AH1794" s="8"/>
    </row>
    <row r="1795" spans="6:34" x14ac:dyDescent="0.25">
      <c r="F1795" s="16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17"/>
      <c r="T1795" s="8"/>
      <c r="U1795" s="8"/>
      <c r="V1795" s="8"/>
      <c r="W1795" s="8"/>
      <c r="X1795" s="8"/>
      <c r="Y1795" s="8"/>
      <c r="Z1795" s="8"/>
      <c r="AA1795" s="8"/>
      <c r="AB1795" s="8"/>
      <c r="AC1795" s="8"/>
      <c r="AD1795" s="14"/>
      <c r="AE1795" s="8"/>
      <c r="AF1795" s="8"/>
      <c r="AG1795" s="8"/>
      <c r="AH1795" s="8"/>
    </row>
    <row r="1796" spans="6:34" x14ac:dyDescent="0.25">
      <c r="F1796" s="16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17"/>
      <c r="T1796" s="8"/>
      <c r="U1796" s="8"/>
      <c r="V1796" s="8"/>
      <c r="W1796" s="8"/>
      <c r="X1796" s="8"/>
      <c r="Y1796" s="8"/>
      <c r="Z1796" s="8"/>
      <c r="AA1796" s="8"/>
      <c r="AB1796" s="8"/>
      <c r="AC1796" s="8"/>
      <c r="AD1796" s="14"/>
      <c r="AE1796" s="8"/>
      <c r="AF1796" s="8"/>
      <c r="AG1796" s="8"/>
      <c r="AH1796" s="8"/>
    </row>
    <row r="1797" spans="6:34" x14ac:dyDescent="0.25">
      <c r="F1797" s="16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17"/>
      <c r="T1797" s="8"/>
      <c r="U1797" s="8"/>
      <c r="V1797" s="8"/>
      <c r="W1797" s="8"/>
      <c r="X1797" s="8"/>
      <c r="Y1797" s="8"/>
      <c r="Z1797" s="8"/>
      <c r="AA1797" s="8"/>
      <c r="AB1797" s="8"/>
      <c r="AC1797" s="8"/>
      <c r="AD1797" s="14"/>
      <c r="AE1797" s="8"/>
      <c r="AF1797" s="8"/>
      <c r="AG1797" s="8"/>
      <c r="AH1797" s="8"/>
    </row>
    <row r="1798" spans="6:34" x14ac:dyDescent="0.25">
      <c r="F1798" s="16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17"/>
      <c r="T1798" s="8"/>
      <c r="U1798" s="8"/>
      <c r="V1798" s="8"/>
      <c r="W1798" s="8"/>
      <c r="X1798" s="8"/>
      <c r="Y1798" s="8"/>
      <c r="Z1798" s="8"/>
      <c r="AA1798" s="8"/>
      <c r="AB1798" s="8"/>
      <c r="AC1798" s="8"/>
      <c r="AD1798" s="14"/>
      <c r="AE1798" s="8"/>
      <c r="AF1798" s="8"/>
      <c r="AG1798" s="8"/>
      <c r="AH1798" s="8"/>
    </row>
    <row r="1799" spans="6:34" x14ac:dyDescent="0.25">
      <c r="F1799" s="16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17"/>
      <c r="T1799" s="8"/>
      <c r="U1799" s="8"/>
      <c r="V1799" s="8"/>
      <c r="W1799" s="8"/>
      <c r="X1799" s="8"/>
      <c r="Y1799" s="8"/>
      <c r="Z1799" s="8"/>
      <c r="AA1799" s="8"/>
      <c r="AB1799" s="8"/>
      <c r="AC1799" s="8"/>
      <c r="AD1799" s="14"/>
      <c r="AE1799" s="8"/>
      <c r="AF1799" s="8"/>
      <c r="AG1799" s="8"/>
      <c r="AH1799" s="8"/>
    </row>
    <row r="1800" spans="6:34" x14ac:dyDescent="0.25">
      <c r="F1800" s="16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17"/>
      <c r="T1800" s="8"/>
      <c r="U1800" s="8"/>
      <c r="V1800" s="8"/>
      <c r="W1800" s="8"/>
      <c r="X1800" s="8"/>
      <c r="Y1800" s="8"/>
      <c r="Z1800" s="8"/>
      <c r="AA1800" s="8"/>
      <c r="AB1800" s="8"/>
      <c r="AC1800" s="8"/>
      <c r="AD1800" s="14"/>
      <c r="AE1800" s="8"/>
      <c r="AF1800" s="8"/>
      <c r="AG1800" s="8"/>
      <c r="AH1800" s="8"/>
    </row>
    <row r="1801" spans="6:34" x14ac:dyDescent="0.25">
      <c r="F1801" s="16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17"/>
      <c r="T1801" s="8"/>
      <c r="U1801" s="8"/>
      <c r="V1801" s="8"/>
      <c r="W1801" s="8"/>
      <c r="X1801" s="8"/>
      <c r="Y1801" s="8"/>
      <c r="Z1801" s="8"/>
      <c r="AA1801" s="8"/>
      <c r="AB1801" s="8"/>
      <c r="AC1801" s="8"/>
      <c r="AD1801" s="14"/>
      <c r="AE1801" s="8"/>
      <c r="AF1801" s="8"/>
      <c r="AG1801" s="8"/>
      <c r="AH1801" s="8"/>
    </row>
    <row r="1802" spans="6:34" x14ac:dyDescent="0.25">
      <c r="F1802" s="16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17"/>
      <c r="T1802" s="8"/>
      <c r="U1802" s="8"/>
      <c r="V1802" s="8"/>
      <c r="W1802" s="8"/>
      <c r="X1802" s="8"/>
      <c r="Y1802" s="8"/>
      <c r="Z1802" s="8"/>
      <c r="AA1802" s="8"/>
      <c r="AB1802" s="8"/>
      <c r="AC1802" s="8"/>
      <c r="AD1802" s="14"/>
      <c r="AE1802" s="8"/>
      <c r="AF1802" s="8"/>
      <c r="AG1802" s="8"/>
      <c r="AH1802" s="8"/>
    </row>
    <row r="1803" spans="6:34" x14ac:dyDescent="0.25">
      <c r="F1803" s="16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17"/>
      <c r="T1803" s="8"/>
      <c r="U1803" s="8"/>
      <c r="V1803" s="8"/>
      <c r="W1803" s="8"/>
      <c r="X1803" s="8"/>
      <c r="Y1803" s="8"/>
      <c r="Z1803" s="8"/>
      <c r="AA1803" s="8"/>
      <c r="AB1803" s="8"/>
      <c r="AC1803" s="8"/>
      <c r="AD1803" s="14"/>
      <c r="AE1803" s="8"/>
      <c r="AF1803" s="8"/>
      <c r="AG1803" s="8"/>
      <c r="AH1803" s="8"/>
    </row>
    <row r="1804" spans="6:34" x14ac:dyDescent="0.25">
      <c r="F1804" s="16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17"/>
      <c r="T1804" s="8"/>
      <c r="U1804" s="8"/>
      <c r="V1804" s="8"/>
      <c r="W1804" s="8"/>
      <c r="X1804" s="8"/>
      <c r="Y1804" s="8"/>
      <c r="Z1804" s="8"/>
      <c r="AA1804" s="8"/>
      <c r="AB1804" s="8"/>
      <c r="AC1804" s="8"/>
      <c r="AD1804" s="14"/>
      <c r="AE1804" s="8"/>
      <c r="AF1804" s="8"/>
      <c r="AG1804" s="8"/>
      <c r="AH1804" s="8"/>
    </row>
    <row r="1805" spans="6:34" x14ac:dyDescent="0.25">
      <c r="F1805" s="16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17"/>
      <c r="T1805" s="8"/>
      <c r="U1805" s="8"/>
      <c r="V1805" s="8"/>
      <c r="W1805" s="8"/>
      <c r="X1805" s="8"/>
      <c r="Y1805" s="8"/>
      <c r="Z1805" s="8"/>
      <c r="AA1805" s="8"/>
      <c r="AB1805" s="8"/>
      <c r="AC1805" s="8"/>
      <c r="AD1805" s="14"/>
      <c r="AE1805" s="8"/>
      <c r="AF1805" s="8"/>
      <c r="AG1805" s="8"/>
      <c r="AH1805" s="8"/>
    </row>
    <row r="1806" spans="6:34" x14ac:dyDescent="0.25">
      <c r="F1806" s="16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17"/>
      <c r="T1806" s="8"/>
      <c r="U1806" s="8"/>
      <c r="V1806" s="8"/>
      <c r="W1806" s="8"/>
      <c r="X1806" s="8"/>
      <c r="Y1806" s="8"/>
      <c r="Z1806" s="8"/>
      <c r="AA1806" s="8"/>
      <c r="AB1806" s="8"/>
      <c r="AC1806" s="8"/>
      <c r="AD1806" s="14"/>
      <c r="AE1806" s="8"/>
      <c r="AF1806" s="8"/>
      <c r="AG1806" s="8"/>
      <c r="AH1806" s="8"/>
    </row>
    <row r="1807" spans="6:34" x14ac:dyDescent="0.25">
      <c r="F1807" s="16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17"/>
      <c r="T1807" s="8"/>
      <c r="U1807" s="8"/>
      <c r="V1807" s="8"/>
      <c r="W1807" s="8"/>
      <c r="X1807" s="8"/>
      <c r="Y1807" s="8"/>
      <c r="Z1807" s="8"/>
      <c r="AA1807" s="8"/>
      <c r="AB1807" s="8"/>
      <c r="AC1807" s="8"/>
      <c r="AD1807" s="14"/>
      <c r="AE1807" s="8"/>
      <c r="AF1807" s="8"/>
      <c r="AG1807" s="8"/>
      <c r="AH1807" s="8"/>
    </row>
    <row r="1808" spans="6:34" x14ac:dyDescent="0.25">
      <c r="F1808" s="16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17"/>
      <c r="T1808" s="8"/>
      <c r="U1808" s="8"/>
      <c r="V1808" s="8"/>
      <c r="W1808" s="8"/>
      <c r="X1808" s="8"/>
      <c r="Y1808" s="8"/>
      <c r="Z1808" s="8"/>
      <c r="AA1808" s="8"/>
      <c r="AB1808" s="8"/>
      <c r="AC1808" s="8"/>
      <c r="AD1808" s="14"/>
      <c r="AE1808" s="8"/>
      <c r="AF1808" s="8"/>
      <c r="AG1808" s="8"/>
      <c r="AH1808" s="8"/>
    </row>
    <row r="1809" spans="6:34" x14ac:dyDescent="0.25">
      <c r="F1809" s="16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17"/>
      <c r="T1809" s="8"/>
      <c r="U1809" s="8"/>
      <c r="V1809" s="8"/>
      <c r="W1809" s="8"/>
      <c r="X1809" s="8"/>
      <c r="Y1809" s="8"/>
      <c r="Z1809" s="8"/>
      <c r="AA1809" s="8"/>
      <c r="AB1809" s="8"/>
      <c r="AC1809" s="8"/>
      <c r="AD1809" s="14"/>
      <c r="AE1809" s="8"/>
      <c r="AF1809" s="8"/>
      <c r="AG1809" s="8"/>
      <c r="AH1809" s="8"/>
    </row>
    <row r="1810" spans="6:34" x14ac:dyDescent="0.25">
      <c r="F1810" s="16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17"/>
      <c r="T1810" s="8"/>
      <c r="U1810" s="8"/>
      <c r="V1810" s="8"/>
      <c r="W1810" s="8"/>
      <c r="X1810" s="8"/>
      <c r="Y1810" s="8"/>
      <c r="Z1810" s="8"/>
      <c r="AA1810" s="8"/>
      <c r="AB1810" s="8"/>
      <c r="AC1810" s="8"/>
      <c r="AD1810" s="14"/>
      <c r="AE1810" s="8"/>
      <c r="AF1810" s="8"/>
      <c r="AG1810" s="8"/>
      <c r="AH1810" s="8"/>
    </row>
    <row r="1811" spans="6:34" x14ac:dyDescent="0.25">
      <c r="F1811" s="16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17"/>
      <c r="T1811" s="8"/>
      <c r="U1811" s="8"/>
      <c r="V1811" s="8"/>
      <c r="W1811" s="8"/>
      <c r="X1811" s="8"/>
      <c r="Y1811" s="8"/>
      <c r="Z1811" s="8"/>
      <c r="AA1811" s="8"/>
      <c r="AB1811" s="8"/>
      <c r="AC1811" s="8"/>
      <c r="AD1811" s="14"/>
      <c r="AE1811" s="8"/>
      <c r="AF1811" s="8"/>
      <c r="AG1811" s="8"/>
      <c r="AH1811" s="8"/>
    </row>
    <row r="1812" spans="6:34" x14ac:dyDescent="0.25">
      <c r="F1812" s="16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17"/>
      <c r="T1812" s="8"/>
      <c r="U1812" s="8"/>
      <c r="V1812" s="8"/>
      <c r="W1812" s="8"/>
      <c r="X1812" s="8"/>
      <c r="Y1812" s="8"/>
      <c r="Z1812" s="8"/>
      <c r="AA1812" s="8"/>
      <c r="AB1812" s="8"/>
      <c r="AC1812" s="8"/>
      <c r="AD1812" s="14"/>
      <c r="AE1812" s="8"/>
      <c r="AF1812" s="8"/>
      <c r="AG1812" s="8"/>
      <c r="AH1812" s="8"/>
    </row>
    <row r="1813" spans="6:34" x14ac:dyDescent="0.25">
      <c r="F1813" s="16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17"/>
      <c r="T1813" s="8"/>
      <c r="U1813" s="8"/>
      <c r="V1813" s="8"/>
      <c r="W1813" s="8"/>
      <c r="X1813" s="8"/>
      <c r="Y1813" s="8"/>
      <c r="Z1813" s="8"/>
      <c r="AA1813" s="8"/>
      <c r="AB1813" s="8"/>
      <c r="AC1813" s="8"/>
      <c r="AD1813" s="14"/>
      <c r="AE1813" s="8"/>
      <c r="AF1813" s="8"/>
      <c r="AG1813" s="8"/>
      <c r="AH1813" s="8"/>
    </row>
    <row r="1814" spans="6:34" x14ac:dyDescent="0.25">
      <c r="F1814" s="16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17"/>
      <c r="T1814" s="8"/>
      <c r="U1814" s="8"/>
      <c r="V1814" s="8"/>
      <c r="W1814" s="8"/>
      <c r="X1814" s="8"/>
      <c r="Y1814" s="8"/>
      <c r="Z1814" s="8"/>
      <c r="AA1814" s="8"/>
      <c r="AB1814" s="8"/>
      <c r="AC1814" s="8"/>
      <c r="AD1814" s="14"/>
      <c r="AE1814" s="8"/>
      <c r="AF1814" s="8"/>
      <c r="AG1814" s="8"/>
      <c r="AH1814" s="8"/>
    </row>
    <row r="1815" spans="6:34" x14ac:dyDescent="0.25">
      <c r="F1815" s="16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17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14"/>
      <c r="AE1815" s="8"/>
      <c r="AF1815" s="8"/>
      <c r="AG1815" s="8"/>
      <c r="AH1815" s="8"/>
    </row>
    <row r="1816" spans="6:34" x14ac:dyDescent="0.25">
      <c r="F1816" s="16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17"/>
      <c r="T1816" s="8"/>
      <c r="U1816" s="8"/>
      <c r="V1816" s="8"/>
      <c r="W1816" s="8"/>
      <c r="X1816" s="8"/>
      <c r="Y1816" s="8"/>
      <c r="Z1816" s="8"/>
      <c r="AA1816" s="8"/>
      <c r="AB1816" s="8"/>
      <c r="AC1816" s="8"/>
      <c r="AD1816" s="14"/>
      <c r="AE1816" s="8"/>
      <c r="AF1816" s="8"/>
      <c r="AG1816" s="8"/>
      <c r="AH1816" s="8"/>
    </row>
    <row r="1817" spans="6:34" x14ac:dyDescent="0.25">
      <c r="F1817" s="16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17"/>
      <c r="T1817" s="8"/>
      <c r="U1817" s="8"/>
      <c r="V1817" s="8"/>
      <c r="W1817" s="8"/>
      <c r="X1817" s="8"/>
      <c r="Y1817" s="8"/>
      <c r="Z1817" s="8"/>
      <c r="AA1817" s="8"/>
      <c r="AB1817" s="8"/>
      <c r="AC1817" s="8"/>
      <c r="AD1817" s="14"/>
      <c r="AE1817" s="8"/>
      <c r="AF1817" s="8"/>
      <c r="AG1817" s="8"/>
      <c r="AH1817" s="8"/>
    </row>
    <row r="1818" spans="6:34" x14ac:dyDescent="0.25">
      <c r="F1818" s="16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17"/>
      <c r="T1818" s="8"/>
      <c r="U1818" s="8"/>
      <c r="V1818" s="8"/>
      <c r="W1818" s="8"/>
      <c r="X1818" s="8"/>
      <c r="Y1818" s="8"/>
      <c r="Z1818" s="8"/>
      <c r="AA1818" s="8"/>
      <c r="AB1818" s="8"/>
      <c r="AC1818" s="8"/>
      <c r="AD1818" s="14"/>
      <c r="AE1818" s="8"/>
      <c r="AF1818" s="8"/>
      <c r="AG1818" s="8"/>
      <c r="AH1818" s="8"/>
    </row>
    <row r="1819" spans="6:34" x14ac:dyDescent="0.25">
      <c r="F1819" s="16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17"/>
      <c r="T1819" s="8"/>
      <c r="U1819" s="8"/>
      <c r="V1819" s="8"/>
      <c r="W1819" s="8"/>
      <c r="X1819" s="8"/>
      <c r="Y1819" s="8"/>
      <c r="Z1819" s="8"/>
      <c r="AA1819" s="8"/>
      <c r="AB1819" s="8"/>
      <c r="AC1819" s="8"/>
      <c r="AD1819" s="14"/>
      <c r="AE1819" s="8"/>
      <c r="AF1819" s="8"/>
      <c r="AG1819" s="8"/>
      <c r="AH1819" s="8"/>
    </row>
    <row r="1820" spans="6:34" x14ac:dyDescent="0.25">
      <c r="F1820" s="16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17"/>
      <c r="T1820" s="8"/>
      <c r="U1820" s="8"/>
      <c r="V1820" s="8"/>
      <c r="W1820" s="8"/>
      <c r="X1820" s="8"/>
      <c r="Y1820" s="8"/>
      <c r="Z1820" s="8"/>
      <c r="AA1820" s="8"/>
      <c r="AB1820" s="8"/>
      <c r="AC1820" s="8"/>
      <c r="AD1820" s="14"/>
      <c r="AE1820" s="8"/>
      <c r="AF1820" s="8"/>
      <c r="AG1820" s="8"/>
      <c r="AH1820" s="8"/>
    </row>
    <row r="1821" spans="6:34" x14ac:dyDescent="0.25">
      <c r="F1821" s="16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17"/>
      <c r="T1821" s="8"/>
      <c r="U1821" s="8"/>
      <c r="V1821" s="8"/>
      <c r="W1821" s="8"/>
      <c r="X1821" s="8"/>
      <c r="Y1821" s="8"/>
      <c r="Z1821" s="8"/>
      <c r="AA1821" s="8"/>
      <c r="AB1821" s="8"/>
      <c r="AC1821" s="8"/>
      <c r="AD1821" s="14"/>
      <c r="AE1821" s="8"/>
      <c r="AF1821" s="8"/>
      <c r="AG1821" s="8"/>
      <c r="AH1821" s="8"/>
    </row>
    <row r="1822" spans="6:34" x14ac:dyDescent="0.25">
      <c r="F1822" s="16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17"/>
      <c r="T1822" s="8"/>
      <c r="U1822" s="8"/>
      <c r="V1822" s="8"/>
      <c r="W1822" s="8"/>
      <c r="X1822" s="8"/>
      <c r="Y1822" s="8"/>
      <c r="Z1822" s="8"/>
      <c r="AA1822" s="8"/>
      <c r="AB1822" s="8"/>
      <c r="AC1822" s="8"/>
      <c r="AD1822" s="14"/>
      <c r="AE1822" s="8"/>
      <c r="AF1822" s="8"/>
      <c r="AG1822" s="8"/>
      <c r="AH1822" s="8"/>
    </row>
    <row r="1823" spans="6:34" x14ac:dyDescent="0.25">
      <c r="F1823" s="16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17"/>
      <c r="T1823" s="8"/>
      <c r="U1823" s="8"/>
      <c r="V1823" s="8"/>
      <c r="W1823" s="8"/>
      <c r="X1823" s="8"/>
      <c r="Y1823" s="8"/>
      <c r="Z1823" s="8"/>
      <c r="AA1823" s="8"/>
      <c r="AB1823" s="8"/>
      <c r="AC1823" s="8"/>
      <c r="AD1823" s="14"/>
      <c r="AE1823" s="8"/>
      <c r="AF1823" s="8"/>
      <c r="AG1823" s="8"/>
      <c r="AH1823" s="8"/>
    </row>
    <row r="1824" spans="6:34" x14ac:dyDescent="0.25">
      <c r="F1824" s="16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17"/>
      <c r="T1824" s="8"/>
      <c r="U1824" s="8"/>
      <c r="V1824" s="8"/>
      <c r="W1824" s="8"/>
      <c r="X1824" s="8"/>
      <c r="Y1824" s="8"/>
      <c r="Z1824" s="8"/>
      <c r="AA1824" s="8"/>
      <c r="AB1824" s="8"/>
      <c r="AC1824" s="8"/>
      <c r="AD1824" s="14"/>
      <c r="AE1824" s="8"/>
      <c r="AF1824" s="8"/>
      <c r="AG1824" s="8"/>
      <c r="AH1824" s="8"/>
    </row>
    <row r="1825" spans="6:34" x14ac:dyDescent="0.25">
      <c r="F1825" s="16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17"/>
      <c r="T1825" s="8"/>
      <c r="U1825" s="8"/>
      <c r="V1825" s="8"/>
      <c r="W1825" s="8"/>
      <c r="X1825" s="8"/>
      <c r="Y1825" s="8"/>
      <c r="Z1825" s="8"/>
      <c r="AA1825" s="8"/>
      <c r="AB1825" s="8"/>
      <c r="AC1825" s="8"/>
      <c r="AD1825" s="14"/>
      <c r="AE1825" s="8"/>
      <c r="AF1825" s="8"/>
      <c r="AG1825" s="8"/>
      <c r="AH1825" s="8"/>
    </row>
    <row r="1826" spans="6:34" x14ac:dyDescent="0.25">
      <c r="F1826" s="16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17"/>
      <c r="T1826" s="8"/>
      <c r="U1826" s="8"/>
      <c r="V1826" s="8"/>
      <c r="W1826" s="8"/>
      <c r="X1826" s="8"/>
      <c r="Y1826" s="8"/>
      <c r="Z1826" s="8"/>
      <c r="AA1826" s="8"/>
      <c r="AB1826" s="8"/>
      <c r="AC1826" s="8"/>
      <c r="AD1826" s="14"/>
      <c r="AE1826" s="8"/>
      <c r="AF1826" s="8"/>
      <c r="AG1826" s="8"/>
      <c r="AH1826" s="8"/>
    </row>
    <row r="1827" spans="6:34" x14ac:dyDescent="0.25">
      <c r="F1827" s="16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17"/>
      <c r="T1827" s="8"/>
      <c r="U1827" s="8"/>
      <c r="V1827" s="8"/>
      <c r="W1827" s="8"/>
      <c r="X1827" s="8"/>
      <c r="Y1827" s="8"/>
      <c r="Z1827" s="8"/>
      <c r="AA1827" s="8"/>
      <c r="AB1827" s="8"/>
      <c r="AC1827" s="8"/>
      <c r="AD1827" s="14"/>
      <c r="AE1827" s="8"/>
      <c r="AF1827" s="8"/>
      <c r="AG1827" s="8"/>
      <c r="AH1827" s="8"/>
    </row>
    <row r="1828" spans="6:34" x14ac:dyDescent="0.25">
      <c r="F1828" s="16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17"/>
      <c r="T1828" s="8"/>
      <c r="U1828" s="8"/>
      <c r="V1828" s="8"/>
      <c r="W1828" s="8"/>
      <c r="X1828" s="8"/>
      <c r="Y1828" s="8"/>
      <c r="Z1828" s="8"/>
      <c r="AA1828" s="8"/>
      <c r="AB1828" s="8"/>
      <c r="AC1828" s="8"/>
      <c r="AD1828" s="14"/>
      <c r="AE1828" s="8"/>
      <c r="AF1828" s="8"/>
      <c r="AG1828" s="8"/>
      <c r="AH1828" s="8"/>
    </row>
    <row r="1829" spans="6:34" x14ac:dyDescent="0.25">
      <c r="F1829" s="16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17"/>
      <c r="T1829" s="8"/>
      <c r="U1829" s="8"/>
      <c r="V1829" s="8"/>
      <c r="W1829" s="8"/>
      <c r="X1829" s="8"/>
      <c r="Y1829" s="8"/>
      <c r="Z1829" s="8"/>
      <c r="AA1829" s="8"/>
      <c r="AB1829" s="8"/>
      <c r="AC1829" s="8"/>
      <c r="AD1829" s="14"/>
      <c r="AE1829" s="8"/>
      <c r="AF1829" s="8"/>
      <c r="AG1829" s="8"/>
      <c r="AH1829" s="8"/>
    </row>
    <row r="1830" spans="6:34" x14ac:dyDescent="0.25">
      <c r="F1830" s="16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17"/>
      <c r="T1830" s="8"/>
      <c r="U1830" s="8"/>
      <c r="V1830" s="8"/>
      <c r="W1830" s="8"/>
      <c r="X1830" s="8"/>
      <c r="Y1830" s="8"/>
      <c r="Z1830" s="8"/>
      <c r="AA1830" s="8"/>
      <c r="AB1830" s="8"/>
      <c r="AC1830" s="8"/>
      <c r="AD1830" s="14"/>
      <c r="AE1830" s="8"/>
      <c r="AF1830" s="8"/>
      <c r="AG1830" s="8"/>
      <c r="AH1830" s="8"/>
    </row>
    <row r="1831" spans="6:34" x14ac:dyDescent="0.25">
      <c r="F1831" s="16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17"/>
      <c r="T1831" s="8"/>
      <c r="U1831" s="8"/>
      <c r="V1831" s="8"/>
      <c r="W1831" s="8"/>
      <c r="X1831" s="8"/>
      <c r="Y1831" s="8"/>
      <c r="Z1831" s="8"/>
      <c r="AA1831" s="8"/>
      <c r="AB1831" s="8"/>
      <c r="AC1831" s="8"/>
      <c r="AD1831" s="14"/>
      <c r="AE1831" s="8"/>
      <c r="AF1831" s="8"/>
      <c r="AG1831" s="8"/>
      <c r="AH1831" s="8"/>
    </row>
    <row r="1832" spans="6:34" x14ac:dyDescent="0.25">
      <c r="F1832" s="16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17"/>
      <c r="T1832" s="8"/>
      <c r="U1832" s="8"/>
      <c r="V1832" s="8"/>
      <c r="W1832" s="8"/>
      <c r="X1832" s="8"/>
      <c r="Y1832" s="8"/>
      <c r="Z1832" s="8"/>
      <c r="AA1832" s="8"/>
      <c r="AB1832" s="8"/>
      <c r="AC1832" s="8"/>
      <c r="AD1832" s="14"/>
      <c r="AE1832" s="8"/>
      <c r="AF1832" s="8"/>
      <c r="AG1832" s="8"/>
      <c r="AH1832" s="8"/>
    </row>
    <row r="1833" spans="6:34" x14ac:dyDescent="0.25">
      <c r="F1833" s="16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17"/>
      <c r="T1833" s="8"/>
      <c r="U1833" s="8"/>
      <c r="V1833" s="8"/>
      <c r="W1833" s="8"/>
      <c r="X1833" s="8"/>
      <c r="Y1833" s="8"/>
      <c r="Z1833" s="8"/>
      <c r="AA1833" s="8"/>
      <c r="AB1833" s="8"/>
      <c r="AC1833" s="8"/>
      <c r="AD1833" s="14"/>
      <c r="AE1833" s="8"/>
      <c r="AF1833" s="8"/>
      <c r="AG1833" s="8"/>
      <c r="AH1833" s="8"/>
    </row>
    <row r="1834" spans="6:34" x14ac:dyDescent="0.25">
      <c r="F1834" s="16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17"/>
      <c r="T1834" s="8"/>
      <c r="U1834" s="8"/>
      <c r="V1834" s="8"/>
      <c r="W1834" s="8"/>
      <c r="X1834" s="8"/>
      <c r="Y1834" s="8"/>
      <c r="Z1834" s="8"/>
      <c r="AA1834" s="8"/>
      <c r="AB1834" s="8"/>
      <c r="AC1834" s="8"/>
      <c r="AD1834" s="14"/>
      <c r="AE1834" s="8"/>
      <c r="AF1834" s="8"/>
      <c r="AG1834" s="8"/>
      <c r="AH1834" s="8"/>
    </row>
    <row r="1835" spans="6:34" x14ac:dyDescent="0.25">
      <c r="F1835" s="16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17"/>
      <c r="T1835" s="8"/>
      <c r="U1835" s="8"/>
      <c r="V1835" s="8"/>
      <c r="W1835" s="8"/>
      <c r="X1835" s="8"/>
      <c r="Y1835" s="8"/>
      <c r="Z1835" s="8"/>
      <c r="AA1835" s="8"/>
      <c r="AB1835" s="8"/>
      <c r="AC1835" s="8"/>
      <c r="AD1835" s="14"/>
      <c r="AE1835" s="8"/>
      <c r="AF1835" s="8"/>
      <c r="AG1835" s="8"/>
      <c r="AH1835" s="8"/>
    </row>
    <row r="1836" spans="6:34" x14ac:dyDescent="0.25">
      <c r="F1836" s="16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17"/>
      <c r="T1836" s="8"/>
      <c r="U1836" s="8"/>
      <c r="V1836" s="8"/>
      <c r="W1836" s="8"/>
      <c r="X1836" s="8"/>
      <c r="Y1836" s="8"/>
      <c r="Z1836" s="8"/>
      <c r="AA1836" s="8"/>
      <c r="AB1836" s="8"/>
      <c r="AC1836" s="8"/>
      <c r="AD1836" s="14"/>
      <c r="AE1836" s="8"/>
      <c r="AF1836" s="8"/>
      <c r="AG1836" s="8"/>
      <c r="AH1836" s="8"/>
    </row>
    <row r="1837" spans="6:34" x14ac:dyDescent="0.25">
      <c r="F1837" s="16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17"/>
      <c r="T1837" s="8"/>
      <c r="U1837" s="8"/>
      <c r="V1837" s="8"/>
      <c r="W1837" s="8"/>
      <c r="X1837" s="8"/>
      <c r="Y1837" s="8"/>
      <c r="Z1837" s="8"/>
      <c r="AA1837" s="8"/>
      <c r="AB1837" s="8"/>
      <c r="AC1837" s="8"/>
      <c r="AD1837" s="14"/>
      <c r="AE1837" s="8"/>
      <c r="AF1837" s="8"/>
      <c r="AG1837" s="8"/>
      <c r="AH1837" s="8"/>
    </row>
    <row r="1838" spans="6:34" x14ac:dyDescent="0.25">
      <c r="F1838" s="16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17"/>
      <c r="T1838" s="8"/>
      <c r="U1838" s="8"/>
      <c r="V1838" s="8"/>
      <c r="W1838" s="8"/>
      <c r="X1838" s="8"/>
      <c r="Y1838" s="8"/>
      <c r="Z1838" s="8"/>
      <c r="AA1838" s="8"/>
      <c r="AB1838" s="8"/>
      <c r="AC1838" s="8"/>
      <c r="AD1838" s="14"/>
      <c r="AE1838" s="8"/>
      <c r="AF1838" s="8"/>
      <c r="AG1838" s="8"/>
      <c r="AH1838" s="8"/>
    </row>
    <row r="1839" spans="6:34" x14ac:dyDescent="0.25">
      <c r="F1839" s="16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17"/>
      <c r="T1839" s="8"/>
      <c r="U1839" s="8"/>
      <c r="V1839" s="8"/>
      <c r="W1839" s="8"/>
      <c r="X1839" s="8"/>
      <c r="Y1839" s="8"/>
      <c r="Z1839" s="8"/>
      <c r="AA1839" s="8"/>
      <c r="AB1839" s="8"/>
      <c r="AC1839" s="8"/>
      <c r="AD1839" s="14"/>
      <c r="AE1839" s="8"/>
      <c r="AF1839" s="8"/>
      <c r="AG1839" s="8"/>
      <c r="AH1839" s="8"/>
    </row>
    <row r="1840" spans="6:34" x14ac:dyDescent="0.25">
      <c r="F1840" s="16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17"/>
      <c r="T1840" s="8"/>
      <c r="U1840" s="8"/>
      <c r="V1840" s="8"/>
      <c r="W1840" s="8"/>
      <c r="X1840" s="8"/>
      <c r="Y1840" s="8"/>
      <c r="Z1840" s="8"/>
      <c r="AA1840" s="8"/>
      <c r="AB1840" s="8"/>
      <c r="AC1840" s="8"/>
      <c r="AD1840" s="14"/>
      <c r="AE1840" s="8"/>
      <c r="AF1840" s="8"/>
      <c r="AG1840" s="8"/>
      <c r="AH1840" s="8"/>
    </row>
    <row r="1841" spans="6:34" x14ac:dyDescent="0.25">
      <c r="F1841" s="16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17"/>
      <c r="T1841" s="8"/>
      <c r="U1841" s="8"/>
      <c r="V1841" s="8"/>
      <c r="W1841" s="8"/>
      <c r="X1841" s="8"/>
      <c r="Y1841" s="8"/>
      <c r="Z1841" s="8"/>
      <c r="AA1841" s="8"/>
      <c r="AB1841" s="8"/>
      <c r="AC1841" s="8"/>
      <c r="AD1841" s="14"/>
      <c r="AE1841" s="8"/>
      <c r="AF1841" s="8"/>
      <c r="AG1841" s="8"/>
      <c r="AH1841" s="8"/>
    </row>
    <row r="1842" spans="6:34" x14ac:dyDescent="0.25">
      <c r="F1842" s="16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17"/>
      <c r="T1842" s="8"/>
      <c r="U1842" s="8"/>
      <c r="V1842" s="8"/>
      <c r="W1842" s="8"/>
      <c r="X1842" s="8"/>
      <c r="Y1842" s="8"/>
      <c r="Z1842" s="8"/>
      <c r="AA1842" s="8"/>
      <c r="AB1842" s="8"/>
      <c r="AC1842" s="8"/>
      <c r="AD1842" s="14"/>
      <c r="AE1842" s="8"/>
      <c r="AF1842" s="8"/>
      <c r="AG1842" s="8"/>
      <c r="AH1842" s="8"/>
    </row>
    <row r="1843" spans="6:34" x14ac:dyDescent="0.25">
      <c r="F1843" s="16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17"/>
      <c r="T1843" s="8"/>
      <c r="U1843" s="8"/>
      <c r="V1843" s="8"/>
      <c r="W1843" s="8"/>
      <c r="X1843" s="8"/>
      <c r="Y1843" s="8"/>
      <c r="Z1843" s="8"/>
      <c r="AA1843" s="8"/>
      <c r="AB1843" s="8"/>
      <c r="AC1843" s="8"/>
      <c r="AD1843" s="14"/>
      <c r="AE1843" s="8"/>
      <c r="AF1843" s="8"/>
      <c r="AG1843" s="8"/>
      <c r="AH1843" s="8"/>
    </row>
    <row r="1844" spans="6:34" x14ac:dyDescent="0.25">
      <c r="F1844" s="16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17"/>
      <c r="T1844" s="8"/>
      <c r="U1844" s="8"/>
      <c r="V1844" s="8"/>
      <c r="W1844" s="8"/>
      <c r="X1844" s="8"/>
      <c r="Y1844" s="8"/>
      <c r="Z1844" s="8"/>
      <c r="AA1844" s="8"/>
      <c r="AB1844" s="8"/>
      <c r="AC1844" s="8"/>
      <c r="AD1844" s="14"/>
      <c r="AE1844" s="8"/>
      <c r="AF1844" s="8"/>
      <c r="AG1844" s="8"/>
      <c r="AH1844" s="8"/>
    </row>
    <row r="1845" spans="6:34" x14ac:dyDescent="0.25">
      <c r="F1845" s="16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17"/>
      <c r="T1845" s="8"/>
      <c r="U1845" s="8"/>
      <c r="V1845" s="8"/>
      <c r="W1845" s="8"/>
      <c r="X1845" s="8"/>
      <c r="Y1845" s="8"/>
      <c r="Z1845" s="8"/>
      <c r="AA1845" s="8"/>
      <c r="AB1845" s="8"/>
      <c r="AC1845" s="8"/>
      <c r="AD1845" s="14"/>
      <c r="AE1845" s="8"/>
      <c r="AF1845" s="8"/>
      <c r="AG1845" s="8"/>
      <c r="AH1845" s="8"/>
    </row>
    <row r="1846" spans="6:34" x14ac:dyDescent="0.25">
      <c r="F1846" s="16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17"/>
      <c r="T1846" s="8"/>
      <c r="U1846" s="8"/>
      <c r="V1846" s="8"/>
      <c r="W1846" s="8"/>
      <c r="X1846" s="8"/>
      <c r="Y1846" s="8"/>
      <c r="Z1846" s="8"/>
      <c r="AA1846" s="8"/>
      <c r="AB1846" s="8"/>
      <c r="AC1846" s="8"/>
      <c r="AD1846" s="14"/>
      <c r="AE1846" s="8"/>
      <c r="AF1846" s="8"/>
      <c r="AG1846" s="8"/>
      <c r="AH1846" s="8"/>
    </row>
    <row r="1847" spans="6:34" x14ac:dyDescent="0.25">
      <c r="F1847" s="16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17"/>
      <c r="T1847" s="8"/>
      <c r="U1847" s="8"/>
      <c r="V1847" s="8"/>
      <c r="W1847" s="8"/>
      <c r="X1847" s="8"/>
      <c r="Y1847" s="8"/>
      <c r="Z1847" s="8"/>
      <c r="AA1847" s="8"/>
      <c r="AB1847" s="8"/>
      <c r="AC1847" s="8"/>
      <c r="AD1847" s="14"/>
      <c r="AE1847" s="8"/>
      <c r="AF1847" s="8"/>
      <c r="AG1847" s="8"/>
      <c r="AH1847" s="8"/>
    </row>
    <row r="1848" spans="6:34" x14ac:dyDescent="0.25">
      <c r="F1848" s="16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17"/>
      <c r="T1848" s="8"/>
      <c r="U1848" s="8"/>
      <c r="V1848" s="8"/>
      <c r="W1848" s="8"/>
      <c r="X1848" s="8"/>
      <c r="Y1848" s="8"/>
      <c r="Z1848" s="8"/>
      <c r="AA1848" s="8"/>
      <c r="AB1848" s="8"/>
      <c r="AC1848" s="8"/>
      <c r="AD1848" s="14"/>
      <c r="AE1848" s="8"/>
      <c r="AF1848" s="8"/>
      <c r="AG1848" s="8"/>
      <c r="AH1848" s="8"/>
    </row>
    <row r="1849" spans="6:34" x14ac:dyDescent="0.25">
      <c r="F1849" s="16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17"/>
      <c r="T1849" s="8"/>
      <c r="U1849" s="8"/>
      <c r="V1849" s="8"/>
      <c r="W1849" s="8"/>
      <c r="X1849" s="8"/>
      <c r="Y1849" s="8"/>
      <c r="Z1849" s="8"/>
      <c r="AA1849" s="8"/>
      <c r="AB1849" s="8"/>
      <c r="AC1849" s="8"/>
      <c r="AD1849" s="14"/>
      <c r="AE1849" s="8"/>
      <c r="AF1849" s="8"/>
      <c r="AG1849" s="8"/>
      <c r="AH1849" s="8"/>
    </row>
    <row r="1850" spans="6:34" x14ac:dyDescent="0.25">
      <c r="F1850" s="16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17"/>
      <c r="T1850" s="8"/>
      <c r="U1850" s="8"/>
      <c r="V1850" s="8"/>
      <c r="W1850" s="8"/>
      <c r="X1850" s="8"/>
      <c r="Y1850" s="8"/>
      <c r="Z1850" s="8"/>
      <c r="AA1850" s="8"/>
      <c r="AB1850" s="8"/>
      <c r="AC1850" s="8"/>
      <c r="AD1850" s="14"/>
      <c r="AE1850" s="8"/>
      <c r="AF1850" s="8"/>
      <c r="AG1850" s="8"/>
      <c r="AH1850" s="8"/>
    </row>
    <row r="1851" spans="6:34" x14ac:dyDescent="0.25">
      <c r="F1851" s="16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17"/>
      <c r="T1851" s="8"/>
      <c r="U1851" s="8"/>
      <c r="V1851" s="8"/>
      <c r="W1851" s="8"/>
      <c r="X1851" s="8"/>
      <c r="Y1851" s="8"/>
      <c r="Z1851" s="8"/>
      <c r="AA1851" s="8"/>
      <c r="AB1851" s="8"/>
      <c r="AC1851" s="8"/>
      <c r="AD1851" s="14"/>
      <c r="AE1851" s="8"/>
      <c r="AF1851" s="8"/>
      <c r="AG1851" s="8"/>
      <c r="AH1851" s="8"/>
    </row>
    <row r="1852" spans="6:34" x14ac:dyDescent="0.25">
      <c r="F1852" s="16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17"/>
      <c r="T1852" s="8"/>
      <c r="U1852" s="8"/>
      <c r="V1852" s="8"/>
      <c r="W1852" s="8"/>
      <c r="X1852" s="8"/>
      <c r="Y1852" s="8"/>
      <c r="Z1852" s="8"/>
      <c r="AA1852" s="8"/>
      <c r="AB1852" s="8"/>
      <c r="AC1852" s="8"/>
      <c r="AD1852" s="14"/>
      <c r="AE1852" s="8"/>
      <c r="AF1852" s="8"/>
      <c r="AG1852" s="8"/>
      <c r="AH1852" s="8"/>
    </row>
    <row r="1853" spans="6:34" x14ac:dyDescent="0.25">
      <c r="F1853" s="16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17"/>
      <c r="T1853" s="8"/>
      <c r="U1853" s="8"/>
      <c r="V1853" s="8"/>
      <c r="W1853" s="8"/>
      <c r="X1853" s="8"/>
      <c r="Y1853" s="8"/>
      <c r="Z1853" s="8"/>
      <c r="AA1853" s="8"/>
      <c r="AB1853" s="8"/>
      <c r="AC1853" s="8"/>
      <c r="AD1853" s="14"/>
      <c r="AE1853" s="8"/>
      <c r="AF1853" s="8"/>
      <c r="AG1853" s="8"/>
      <c r="AH1853" s="8"/>
    </row>
    <row r="1854" spans="6:34" x14ac:dyDescent="0.25">
      <c r="F1854" s="16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17"/>
      <c r="T1854" s="8"/>
      <c r="U1854" s="8"/>
      <c r="V1854" s="8"/>
      <c r="W1854" s="8"/>
      <c r="X1854" s="8"/>
      <c r="Y1854" s="8"/>
      <c r="Z1854" s="8"/>
      <c r="AA1854" s="8"/>
      <c r="AB1854" s="8"/>
      <c r="AC1854" s="8"/>
      <c r="AD1854" s="14"/>
      <c r="AE1854" s="8"/>
      <c r="AF1854" s="8"/>
      <c r="AG1854" s="8"/>
      <c r="AH1854" s="8"/>
    </row>
    <row r="1855" spans="6:34" x14ac:dyDescent="0.25">
      <c r="F1855" s="16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17"/>
      <c r="T1855" s="8"/>
      <c r="U1855" s="8"/>
      <c r="V1855" s="8"/>
      <c r="W1855" s="8"/>
      <c r="X1855" s="8"/>
      <c r="Y1855" s="8"/>
      <c r="Z1855" s="8"/>
      <c r="AA1855" s="8"/>
      <c r="AB1855" s="8"/>
      <c r="AC1855" s="8"/>
      <c r="AD1855" s="14"/>
      <c r="AE1855" s="8"/>
      <c r="AF1855" s="8"/>
      <c r="AG1855" s="8"/>
      <c r="AH1855" s="8"/>
    </row>
    <row r="1856" spans="6:34" x14ac:dyDescent="0.25">
      <c r="F1856" s="16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17"/>
      <c r="T1856" s="8"/>
      <c r="U1856" s="8"/>
      <c r="V1856" s="8"/>
      <c r="W1856" s="8"/>
      <c r="X1856" s="8"/>
      <c r="Y1856" s="8"/>
      <c r="Z1856" s="8"/>
      <c r="AA1856" s="8"/>
      <c r="AB1856" s="8"/>
      <c r="AC1856" s="8"/>
      <c r="AD1856" s="14"/>
      <c r="AE1856" s="8"/>
      <c r="AF1856" s="8"/>
      <c r="AG1856" s="8"/>
      <c r="AH1856" s="8"/>
    </row>
    <row r="1857" spans="6:34" x14ac:dyDescent="0.25">
      <c r="F1857" s="16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17"/>
      <c r="T1857" s="8"/>
      <c r="U1857" s="8"/>
      <c r="V1857" s="8"/>
      <c r="W1857" s="8"/>
      <c r="X1857" s="8"/>
      <c r="Y1857" s="8"/>
      <c r="Z1857" s="8"/>
      <c r="AA1857" s="8"/>
      <c r="AB1857" s="8"/>
      <c r="AC1857" s="8"/>
      <c r="AD1857" s="14"/>
      <c r="AE1857" s="8"/>
      <c r="AF1857" s="8"/>
      <c r="AG1857" s="8"/>
      <c r="AH1857" s="8"/>
    </row>
    <row r="1858" spans="6:34" x14ac:dyDescent="0.25">
      <c r="F1858" s="16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17"/>
      <c r="T1858" s="8"/>
      <c r="U1858" s="8"/>
      <c r="V1858" s="8"/>
      <c r="W1858" s="8"/>
      <c r="X1858" s="8"/>
      <c r="Y1858" s="8"/>
      <c r="Z1858" s="8"/>
      <c r="AA1858" s="8"/>
      <c r="AB1858" s="8"/>
      <c r="AC1858" s="8"/>
      <c r="AD1858" s="14"/>
      <c r="AE1858" s="8"/>
      <c r="AF1858" s="8"/>
      <c r="AG1858" s="8"/>
      <c r="AH1858" s="8"/>
    </row>
    <row r="1859" spans="6:34" x14ac:dyDescent="0.25">
      <c r="F1859" s="16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17"/>
      <c r="T1859" s="8"/>
      <c r="U1859" s="8"/>
      <c r="V1859" s="8"/>
      <c r="W1859" s="8"/>
      <c r="X1859" s="8"/>
      <c r="Y1859" s="8"/>
      <c r="Z1859" s="8"/>
      <c r="AA1859" s="8"/>
      <c r="AB1859" s="8"/>
      <c r="AC1859" s="8"/>
      <c r="AD1859" s="14"/>
      <c r="AE1859" s="8"/>
      <c r="AF1859" s="8"/>
      <c r="AG1859" s="8"/>
      <c r="AH1859" s="8"/>
    </row>
    <row r="1860" spans="6:34" x14ac:dyDescent="0.25">
      <c r="F1860" s="16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17"/>
      <c r="T1860" s="8"/>
      <c r="U1860" s="8"/>
      <c r="V1860" s="8"/>
      <c r="W1860" s="8"/>
      <c r="X1860" s="8"/>
      <c r="Y1860" s="8"/>
      <c r="Z1860" s="8"/>
      <c r="AA1860" s="8"/>
      <c r="AB1860" s="8"/>
      <c r="AC1860" s="8"/>
      <c r="AD1860" s="14"/>
      <c r="AE1860" s="8"/>
      <c r="AF1860" s="8"/>
      <c r="AG1860" s="8"/>
      <c r="AH1860" s="8"/>
    </row>
    <row r="1861" spans="6:34" x14ac:dyDescent="0.25">
      <c r="F1861" s="16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17"/>
      <c r="T1861" s="8"/>
      <c r="U1861" s="8"/>
      <c r="V1861" s="8"/>
      <c r="W1861" s="8"/>
      <c r="X1861" s="8"/>
      <c r="Y1861" s="8"/>
      <c r="Z1861" s="8"/>
      <c r="AA1861" s="8"/>
      <c r="AB1861" s="8"/>
      <c r="AC1861" s="8"/>
      <c r="AD1861" s="14"/>
      <c r="AE1861" s="8"/>
      <c r="AF1861" s="8"/>
      <c r="AG1861" s="8"/>
      <c r="AH1861" s="8"/>
    </row>
    <row r="1862" spans="6:34" x14ac:dyDescent="0.25">
      <c r="F1862" s="16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17"/>
      <c r="T1862" s="8"/>
      <c r="U1862" s="8"/>
      <c r="V1862" s="8"/>
      <c r="W1862" s="8"/>
      <c r="X1862" s="8"/>
      <c r="Y1862" s="8"/>
      <c r="Z1862" s="8"/>
      <c r="AA1862" s="8"/>
      <c r="AB1862" s="8"/>
      <c r="AC1862" s="8"/>
      <c r="AD1862" s="14"/>
      <c r="AE1862" s="8"/>
      <c r="AF1862" s="8"/>
      <c r="AG1862" s="8"/>
      <c r="AH1862" s="8"/>
    </row>
    <row r="1863" spans="6:34" x14ac:dyDescent="0.25">
      <c r="F1863" s="16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17"/>
      <c r="T1863" s="8"/>
      <c r="U1863" s="8"/>
      <c r="V1863" s="8"/>
      <c r="W1863" s="8"/>
      <c r="X1863" s="8"/>
      <c r="Y1863" s="8"/>
      <c r="Z1863" s="8"/>
      <c r="AA1863" s="8"/>
      <c r="AB1863" s="8"/>
      <c r="AC1863" s="8"/>
      <c r="AD1863" s="14"/>
      <c r="AE1863" s="8"/>
      <c r="AF1863" s="8"/>
      <c r="AG1863" s="8"/>
      <c r="AH1863" s="8"/>
    </row>
    <row r="1864" spans="6:34" x14ac:dyDescent="0.25">
      <c r="F1864" s="16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17"/>
      <c r="T1864" s="8"/>
      <c r="U1864" s="8"/>
      <c r="V1864" s="8"/>
      <c r="W1864" s="8"/>
      <c r="X1864" s="8"/>
      <c r="Y1864" s="8"/>
      <c r="Z1864" s="8"/>
      <c r="AA1864" s="8"/>
      <c r="AB1864" s="8"/>
      <c r="AC1864" s="8"/>
      <c r="AD1864" s="14"/>
      <c r="AE1864" s="8"/>
      <c r="AF1864" s="8"/>
      <c r="AG1864" s="8"/>
      <c r="AH1864" s="8"/>
    </row>
    <row r="1865" spans="6:34" x14ac:dyDescent="0.25">
      <c r="F1865" s="16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17"/>
      <c r="T1865" s="8"/>
      <c r="U1865" s="8"/>
      <c r="V1865" s="8"/>
      <c r="W1865" s="8"/>
      <c r="X1865" s="8"/>
      <c r="Y1865" s="8"/>
      <c r="Z1865" s="8"/>
      <c r="AA1865" s="8"/>
      <c r="AB1865" s="8"/>
      <c r="AC1865" s="8"/>
      <c r="AD1865" s="14"/>
      <c r="AE1865" s="8"/>
      <c r="AF1865" s="8"/>
      <c r="AG1865" s="8"/>
      <c r="AH1865" s="8"/>
    </row>
    <row r="1866" spans="6:34" x14ac:dyDescent="0.25">
      <c r="F1866" s="16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17"/>
      <c r="T1866" s="8"/>
      <c r="U1866" s="8"/>
      <c r="V1866" s="8"/>
      <c r="W1866" s="8"/>
      <c r="X1866" s="8"/>
      <c r="Y1866" s="8"/>
      <c r="Z1866" s="8"/>
      <c r="AA1866" s="8"/>
      <c r="AB1866" s="8"/>
      <c r="AC1866" s="8"/>
      <c r="AD1866" s="14"/>
      <c r="AE1866" s="8"/>
      <c r="AF1866" s="8"/>
      <c r="AG1866" s="8"/>
      <c r="AH1866" s="8"/>
    </row>
    <row r="1867" spans="6:34" x14ac:dyDescent="0.25">
      <c r="F1867" s="16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17"/>
      <c r="T1867" s="8"/>
      <c r="U1867" s="8"/>
      <c r="V1867" s="8"/>
      <c r="W1867" s="8"/>
      <c r="X1867" s="8"/>
      <c r="Y1867" s="8"/>
      <c r="Z1867" s="8"/>
      <c r="AA1867" s="8"/>
      <c r="AB1867" s="8"/>
      <c r="AC1867" s="8"/>
      <c r="AD1867" s="14"/>
      <c r="AE1867" s="8"/>
      <c r="AF1867" s="8"/>
      <c r="AG1867" s="8"/>
      <c r="AH1867" s="8"/>
    </row>
    <row r="1868" spans="6:34" x14ac:dyDescent="0.25">
      <c r="F1868" s="16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17"/>
      <c r="T1868" s="8"/>
      <c r="U1868" s="8"/>
      <c r="V1868" s="8"/>
      <c r="W1868" s="8"/>
      <c r="X1868" s="8"/>
      <c r="Y1868" s="8"/>
      <c r="Z1868" s="8"/>
      <c r="AA1868" s="8"/>
      <c r="AB1868" s="8"/>
      <c r="AC1868" s="8"/>
      <c r="AD1868" s="14"/>
      <c r="AE1868" s="8"/>
      <c r="AF1868" s="8"/>
      <c r="AG1868" s="8"/>
      <c r="AH1868" s="8"/>
    </row>
    <row r="1869" spans="6:34" x14ac:dyDescent="0.25">
      <c r="F1869" s="16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17"/>
      <c r="T1869" s="8"/>
      <c r="U1869" s="8"/>
      <c r="V1869" s="8"/>
      <c r="W1869" s="8"/>
      <c r="X1869" s="8"/>
      <c r="Y1869" s="8"/>
      <c r="Z1869" s="8"/>
      <c r="AA1869" s="8"/>
      <c r="AB1869" s="8"/>
      <c r="AC1869" s="8"/>
      <c r="AD1869" s="14"/>
      <c r="AE1869" s="8"/>
      <c r="AF1869" s="8"/>
      <c r="AG1869" s="8"/>
      <c r="AH1869" s="8"/>
    </row>
    <row r="1870" spans="6:34" x14ac:dyDescent="0.25">
      <c r="F1870" s="16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17"/>
      <c r="T1870" s="8"/>
      <c r="U1870" s="8"/>
      <c r="V1870" s="8"/>
      <c r="W1870" s="8"/>
      <c r="X1870" s="8"/>
      <c r="Y1870" s="8"/>
      <c r="Z1870" s="8"/>
      <c r="AA1870" s="8"/>
      <c r="AB1870" s="8"/>
      <c r="AC1870" s="8"/>
      <c r="AD1870" s="14"/>
      <c r="AE1870" s="8"/>
      <c r="AF1870" s="8"/>
      <c r="AG1870" s="8"/>
      <c r="AH1870" s="8"/>
    </row>
    <row r="1871" spans="6:34" x14ac:dyDescent="0.25">
      <c r="F1871" s="16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17"/>
      <c r="T1871" s="8"/>
      <c r="U1871" s="8"/>
      <c r="V1871" s="8"/>
      <c r="W1871" s="8"/>
      <c r="X1871" s="8"/>
      <c r="Y1871" s="8"/>
      <c r="Z1871" s="8"/>
      <c r="AA1871" s="8"/>
      <c r="AB1871" s="8"/>
      <c r="AC1871" s="8"/>
      <c r="AD1871" s="14"/>
      <c r="AE1871" s="8"/>
      <c r="AF1871" s="8"/>
      <c r="AG1871" s="8"/>
      <c r="AH1871" s="8"/>
    </row>
    <row r="1872" spans="6:34" x14ac:dyDescent="0.25">
      <c r="F1872" s="16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17"/>
      <c r="T1872" s="8"/>
      <c r="U1872" s="8"/>
      <c r="V1872" s="8"/>
      <c r="W1872" s="8"/>
      <c r="X1872" s="8"/>
      <c r="Y1872" s="8"/>
      <c r="Z1872" s="8"/>
      <c r="AA1872" s="8"/>
      <c r="AB1872" s="8"/>
      <c r="AC1872" s="8"/>
      <c r="AD1872" s="14"/>
      <c r="AE1872" s="8"/>
      <c r="AF1872" s="8"/>
      <c r="AG1872" s="8"/>
      <c r="AH1872" s="8"/>
    </row>
    <row r="1873" spans="6:34" x14ac:dyDescent="0.25">
      <c r="F1873" s="16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17"/>
      <c r="T1873" s="8"/>
      <c r="U1873" s="8"/>
      <c r="V1873" s="8"/>
      <c r="W1873" s="8"/>
      <c r="X1873" s="8"/>
      <c r="Y1873" s="8"/>
      <c r="Z1873" s="8"/>
      <c r="AA1873" s="8"/>
      <c r="AB1873" s="8"/>
      <c r="AC1873" s="8"/>
      <c r="AD1873" s="14"/>
      <c r="AE1873" s="8"/>
      <c r="AF1873" s="8"/>
      <c r="AG1873" s="8"/>
      <c r="AH1873" s="8"/>
    </row>
    <row r="1874" spans="6:34" x14ac:dyDescent="0.25">
      <c r="F1874" s="16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17"/>
      <c r="T1874" s="8"/>
      <c r="U1874" s="8"/>
      <c r="V1874" s="8"/>
      <c r="W1874" s="8"/>
      <c r="X1874" s="8"/>
      <c r="Y1874" s="8"/>
      <c r="Z1874" s="8"/>
      <c r="AA1874" s="8"/>
      <c r="AB1874" s="8"/>
      <c r="AC1874" s="8"/>
      <c r="AD1874" s="14"/>
      <c r="AE1874" s="8"/>
      <c r="AF1874" s="8"/>
      <c r="AG1874" s="8"/>
      <c r="AH1874" s="8"/>
    </row>
    <row r="1875" spans="6:34" x14ac:dyDescent="0.25">
      <c r="F1875" s="16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17"/>
      <c r="T1875" s="8"/>
      <c r="U1875" s="8"/>
      <c r="V1875" s="8"/>
      <c r="W1875" s="8"/>
      <c r="X1875" s="8"/>
      <c r="Y1875" s="8"/>
      <c r="Z1875" s="8"/>
      <c r="AA1875" s="8"/>
      <c r="AB1875" s="8"/>
      <c r="AC1875" s="8"/>
      <c r="AD1875" s="14"/>
      <c r="AE1875" s="8"/>
      <c r="AF1875" s="8"/>
      <c r="AG1875" s="8"/>
      <c r="AH1875" s="8"/>
    </row>
    <row r="1876" spans="6:34" x14ac:dyDescent="0.25">
      <c r="F1876" s="16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17"/>
      <c r="T1876" s="8"/>
      <c r="U1876" s="8"/>
      <c r="V1876" s="8"/>
      <c r="W1876" s="8"/>
      <c r="X1876" s="8"/>
      <c r="Y1876" s="8"/>
      <c r="Z1876" s="8"/>
      <c r="AA1876" s="8"/>
      <c r="AB1876" s="8"/>
      <c r="AC1876" s="8"/>
      <c r="AD1876" s="14"/>
      <c r="AE1876" s="8"/>
      <c r="AF1876" s="8"/>
      <c r="AG1876" s="8"/>
      <c r="AH1876" s="8"/>
    </row>
    <row r="1877" spans="6:34" x14ac:dyDescent="0.25">
      <c r="F1877" s="16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17"/>
      <c r="T1877" s="8"/>
      <c r="U1877" s="8"/>
      <c r="V1877" s="8"/>
      <c r="W1877" s="8"/>
      <c r="X1877" s="8"/>
      <c r="Y1877" s="8"/>
      <c r="Z1877" s="8"/>
      <c r="AA1877" s="8"/>
      <c r="AB1877" s="8"/>
      <c r="AC1877" s="8"/>
      <c r="AD1877" s="14"/>
      <c r="AE1877" s="8"/>
      <c r="AF1877" s="8"/>
      <c r="AG1877" s="8"/>
      <c r="AH1877" s="8"/>
    </row>
    <row r="1878" spans="6:34" x14ac:dyDescent="0.25">
      <c r="F1878" s="16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17"/>
      <c r="T1878" s="8"/>
      <c r="U1878" s="8"/>
      <c r="V1878" s="8"/>
      <c r="W1878" s="8"/>
      <c r="X1878" s="8"/>
      <c r="Y1878" s="8"/>
      <c r="Z1878" s="8"/>
      <c r="AA1878" s="8"/>
      <c r="AB1878" s="8"/>
      <c r="AC1878" s="8"/>
      <c r="AD1878" s="14"/>
      <c r="AE1878" s="8"/>
      <c r="AF1878" s="8"/>
      <c r="AG1878" s="8"/>
      <c r="AH1878" s="8"/>
    </row>
    <row r="1879" spans="6:34" x14ac:dyDescent="0.25">
      <c r="F1879" s="16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17"/>
      <c r="T1879" s="8"/>
      <c r="U1879" s="8"/>
      <c r="V1879" s="8"/>
      <c r="W1879" s="8"/>
      <c r="X1879" s="8"/>
      <c r="Y1879" s="8"/>
      <c r="Z1879" s="8"/>
      <c r="AA1879" s="8"/>
      <c r="AB1879" s="8"/>
      <c r="AC1879" s="8"/>
      <c r="AD1879" s="14"/>
      <c r="AE1879" s="8"/>
      <c r="AF1879" s="8"/>
      <c r="AG1879" s="8"/>
      <c r="AH1879" s="8"/>
    </row>
    <row r="1880" spans="6:34" x14ac:dyDescent="0.25">
      <c r="F1880" s="16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17"/>
      <c r="T1880" s="8"/>
      <c r="U1880" s="8"/>
      <c r="V1880" s="8"/>
      <c r="W1880" s="8"/>
      <c r="X1880" s="8"/>
      <c r="Y1880" s="8"/>
      <c r="Z1880" s="8"/>
      <c r="AA1880" s="8"/>
      <c r="AB1880" s="8"/>
      <c r="AC1880" s="8"/>
      <c r="AD1880" s="14"/>
      <c r="AE1880" s="8"/>
      <c r="AF1880" s="8"/>
      <c r="AG1880" s="8"/>
      <c r="AH1880" s="8"/>
    </row>
    <row r="1881" spans="6:34" x14ac:dyDescent="0.25">
      <c r="F1881" s="16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17"/>
      <c r="T1881" s="8"/>
      <c r="U1881" s="8"/>
      <c r="V1881" s="8"/>
      <c r="W1881" s="8"/>
      <c r="X1881" s="8"/>
      <c r="Y1881" s="8"/>
      <c r="Z1881" s="8"/>
      <c r="AA1881" s="8"/>
      <c r="AB1881" s="8"/>
      <c r="AC1881" s="8"/>
      <c r="AD1881" s="14"/>
      <c r="AE1881" s="8"/>
      <c r="AF1881" s="8"/>
      <c r="AG1881" s="8"/>
      <c r="AH1881" s="8"/>
    </row>
    <row r="1882" spans="6:34" x14ac:dyDescent="0.25">
      <c r="F1882" s="16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17"/>
      <c r="T1882" s="8"/>
      <c r="U1882" s="8"/>
      <c r="V1882" s="8"/>
      <c r="W1882" s="8"/>
      <c r="X1882" s="8"/>
      <c r="Y1882" s="8"/>
      <c r="Z1882" s="8"/>
      <c r="AA1882" s="8"/>
      <c r="AB1882" s="8"/>
      <c r="AC1882" s="8"/>
      <c r="AD1882" s="14"/>
      <c r="AE1882" s="8"/>
      <c r="AF1882" s="8"/>
      <c r="AG1882" s="8"/>
      <c r="AH1882" s="8"/>
    </row>
    <row r="1883" spans="6:34" x14ac:dyDescent="0.25">
      <c r="F1883" s="16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17"/>
      <c r="T1883" s="8"/>
      <c r="U1883" s="8"/>
      <c r="V1883" s="8"/>
      <c r="W1883" s="8"/>
      <c r="X1883" s="8"/>
      <c r="Y1883" s="8"/>
      <c r="Z1883" s="8"/>
      <c r="AA1883" s="8"/>
      <c r="AB1883" s="8"/>
      <c r="AC1883" s="8"/>
      <c r="AD1883" s="14"/>
      <c r="AE1883" s="8"/>
      <c r="AF1883" s="8"/>
      <c r="AG1883" s="8"/>
      <c r="AH1883" s="8"/>
    </row>
    <row r="1884" spans="6:34" x14ac:dyDescent="0.25">
      <c r="F1884" s="16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17"/>
      <c r="T1884" s="8"/>
      <c r="U1884" s="8"/>
      <c r="V1884" s="8"/>
      <c r="W1884" s="8"/>
      <c r="X1884" s="8"/>
      <c r="Y1884" s="8"/>
      <c r="Z1884" s="8"/>
      <c r="AA1884" s="8"/>
      <c r="AB1884" s="8"/>
      <c r="AC1884" s="8"/>
      <c r="AD1884" s="14"/>
      <c r="AE1884" s="8"/>
      <c r="AF1884" s="8"/>
      <c r="AG1884" s="8"/>
      <c r="AH1884" s="8"/>
    </row>
    <row r="1885" spans="6:34" x14ac:dyDescent="0.25">
      <c r="F1885" s="16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17"/>
      <c r="T1885" s="8"/>
      <c r="U1885" s="8"/>
      <c r="V1885" s="8"/>
      <c r="W1885" s="8"/>
      <c r="X1885" s="8"/>
      <c r="Y1885" s="8"/>
      <c r="Z1885" s="8"/>
      <c r="AA1885" s="8"/>
      <c r="AB1885" s="8"/>
      <c r="AC1885" s="8"/>
      <c r="AD1885" s="14"/>
      <c r="AE1885" s="8"/>
      <c r="AF1885" s="8"/>
      <c r="AG1885" s="8"/>
      <c r="AH1885" s="8"/>
    </row>
    <row r="1886" spans="6:34" x14ac:dyDescent="0.25">
      <c r="F1886" s="16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17"/>
      <c r="T1886" s="8"/>
      <c r="U1886" s="8"/>
      <c r="V1886" s="8"/>
      <c r="W1886" s="8"/>
      <c r="X1886" s="8"/>
      <c r="Y1886" s="8"/>
      <c r="Z1886" s="8"/>
      <c r="AA1886" s="8"/>
      <c r="AB1886" s="8"/>
      <c r="AC1886" s="8"/>
      <c r="AD1886" s="14"/>
      <c r="AE1886" s="8"/>
      <c r="AF1886" s="8"/>
      <c r="AG1886" s="8"/>
      <c r="AH1886" s="8"/>
    </row>
    <row r="1887" spans="6:34" x14ac:dyDescent="0.25">
      <c r="F1887" s="16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17"/>
      <c r="T1887" s="8"/>
      <c r="U1887" s="8"/>
      <c r="V1887" s="8"/>
      <c r="W1887" s="8"/>
      <c r="X1887" s="8"/>
      <c r="Y1887" s="8"/>
      <c r="Z1887" s="8"/>
      <c r="AA1887" s="8"/>
      <c r="AB1887" s="8"/>
      <c r="AC1887" s="8"/>
      <c r="AD1887" s="14"/>
      <c r="AE1887" s="8"/>
      <c r="AF1887" s="8"/>
      <c r="AG1887" s="8"/>
      <c r="AH1887" s="8"/>
    </row>
    <row r="1888" spans="6:34" x14ac:dyDescent="0.25">
      <c r="F1888" s="16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17"/>
      <c r="T1888" s="8"/>
      <c r="U1888" s="8"/>
      <c r="V1888" s="8"/>
      <c r="W1888" s="8"/>
      <c r="X1888" s="8"/>
      <c r="Y1888" s="8"/>
      <c r="Z1888" s="8"/>
      <c r="AA1888" s="8"/>
      <c r="AB1888" s="8"/>
      <c r="AC1888" s="8"/>
      <c r="AD1888" s="14"/>
      <c r="AE1888" s="8"/>
      <c r="AF1888" s="8"/>
      <c r="AG1888" s="8"/>
      <c r="AH1888" s="8"/>
    </row>
    <row r="1889" spans="6:34" x14ac:dyDescent="0.25">
      <c r="F1889" s="16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17"/>
      <c r="T1889" s="8"/>
      <c r="U1889" s="8"/>
      <c r="V1889" s="8"/>
      <c r="W1889" s="8"/>
      <c r="X1889" s="8"/>
      <c r="Y1889" s="8"/>
      <c r="Z1889" s="8"/>
      <c r="AA1889" s="8"/>
      <c r="AB1889" s="8"/>
      <c r="AC1889" s="8"/>
      <c r="AD1889" s="14"/>
      <c r="AE1889" s="8"/>
      <c r="AF1889" s="8"/>
      <c r="AG1889" s="8"/>
      <c r="AH1889" s="8"/>
    </row>
    <row r="1890" spans="6:34" x14ac:dyDescent="0.25">
      <c r="F1890" s="16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17"/>
      <c r="T1890" s="8"/>
      <c r="U1890" s="8"/>
      <c r="V1890" s="8"/>
      <c r="W1890" s="8"/>
      <c r="X1890" s="8"/>
      <c r="Y1890" s="8"/>
      <c r="Z1890" s="8"/>
      <c r="AA1890" s="8"/>
      <c r="AB1890" s="8"/>
      <c r="AC1890" s="8"/>
      <c r="AD1890" s="14"/>
      <c r="AE1890" s="8"/>
      <c r="AF1890" s="8"/>
      <c r="AG1890" s="8"/>
      <c r="AH1890" s="8"/>
    </row>
    <row r="1891" spans="6:34" x14ac:dyDescent="0.25">
      <c r="F1891" s="16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17"/>
      <c r="T1891" s="8"/>
      <c r="U1891" s="8"/>
      <c r="V1891" s="8"/>
      <c r="W1891" s="8"/>
      <c r="X1891" s="8"/>
      <c r="Y1891" s="8"/>
      <c r="Z1891" s="8"/>
      <c r="AA1891" s="8"/>
      <c r="AB1891" s="8"/>
      <c r="AC1891" s="8"/>
      <c r="AD1891" s="14"/>
      <c r="AE1891" s="8"/>
      <c r="AF1891" s="8"/>
      <c r="AG1891" s="8"/>
      <c r="AH1891" s="8"/>
    </row>
    <row r="1892" spans="6:34" x14ac:dyDescent="0.25">
      <c r="F1892" s="16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17"/>
      <c r="T1892" s="8"/>
      <c r="U1892" s="8"/>
      <c r="V1892" s="8"/>
      <c r="W1892" s="8"/>
      <c r="X1892" s="8"/>
      <c r="Y1892" s="8"/>
      <c r="Z1892" s="8"/>
      <c r="AA1892" s="8"/>
      <c r="AB1892" s="8"/>
      <c r="AC1892" s="8"/>
      <c r="AD1892" s="14"/>
      <c r="AE1892" s="8"/>
      <c r="AF1892" s="8"/>
      <c r="AG1892" s="8"/>
      <c r="AH1892" s="8"/>
    </row>
    <row r="1893" spans="6:34" x14ac:dyDescent="0.25">
      <c r="F1893" s="22"/>
      <c r="G1893" s="23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24"/>
      <c r="T1893" s="23"/>
      <c r="U1893" s="10"/>
      <c r="V1893" s="10"/>
      <c r="W1893" s="10"/>
      <c r="X1893" s="10"/>
      <c r="Y1893" s="10"/>
      <c r="Z1893" s="10"/>
      <c r="AA1893" s="10"/>
      <c r="AB1893" s="10"/>
      <c r="AC1893" s="10"/>
      <c r="AD1893" s="25"/>
      <c r="AE1893" s="10"/>
      <c r="AF1893" s="10"/>
      <c r="AG1893" s="10"/>
      <c r="AH1893" s="10"/>
    </row>
    <row r="1894" spans="6:34" x14ac:dyDescent="0.25">
      <c r="F1894" s="22"/>
      <c r="G1894" s="23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24"/>
      <c r="T1894" s="23"/>
      <c r="U1894" s="10"/>
      <c r="V1894" s="10"/>
      <c r="W1894" s="10"/>
      <c r="X1894" s="10"/>
      <c r="Y1894" s="10"/>
      <c r="Z1894" s="10"/>
      <c r="AA1894" s="10"/>
      <c r="AB1894" s="10"/>
      <c r="AC1894" s="10"/>
      <c r="AD1894" s="25"/>
      <c r="AE1894" s="10"/>
      <c r="AF1894" s="10"/>
      <c r="AG1894" s="10"/>
      <c r="AH1894" s="10"/>
    </row>
    <row r="1895" spans="6:34" x14ac:dyDescent="0.25">
      <c r="F1895" s="22"/>
      <c r="G1895" s="23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24"/>
      <c r="T1895" s="23"/>
      <c r="U1895" s="10"/>
      <c r="V1895" s="10"/>
      <c r="W1895" s="10"/>
      <c r="X1895" s="10"/>
      <c r="Y1895" s="10"/>
      <c r="Z1895" s="10"/>
      <c r="AA1895" s="10"/>
      <c r="AB1895" s="10"/>
      <c r="AC1895" s="10"/>
      <c r="AD1895" s="25"/>
      <c r="AE1895" s="10"/>
      <c r="AF1895" s="10"/>
      <c r="AG1895" s="10"/>
      <c r="AH1895" s="10"/>
    </row>
    <row r="1896" spans="6:34" x14ac:dyDescent="0.25">
      <c r="F1896" s="22"/>
      <c r="G1896" s="23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24"/>
      <c r="T1896" s="23"/>
      <c r="U1896" s="10"/>
      <c r="V1896" s="10"/>
      <c r="W1896" s="10"/>
      <c r="X1896" s="10"/>
      <c r="Y1896" s="10"/>
      <c r="Z1896" s="10"/>
      <c r="AA1896" s="10"/>
      <c r="AB1896" s="10"/>
      <c r="AC1896" s="10"/>
      <c r="AD1896" s="25"/>
      <c r="AE1896" s="10"/>
      <c r="AF1896" s="10"/>
      <c r="AG1896" s="10"/>
      <c r="AH1896" s="10"/>
    </row>
    <row r="1897" spans="6:34" x14ac:dyDescent="0.25">
      <c r="F1897" s="22"/>
      <c r="G1897" s="23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24"/>
      <c r="T1897" s="23"/>
      <c r="U1897" s="10"/>
      <c r="V1897" s="10"/>
      <c r="W1897" s="10"/>
      <c r="X1897" s="10"/>
      <c r="Y1897" s="10"/>
      <c r="Z1897" s="10"/>
      <c r="AA1897" s="10"/>
      <c r="AB1897" s="10"/>
      <c r="AC1897" s="10"/>
      <c r="AD1897" s="25"/>
      <c r="AE1897" s="10"/>
      <c r="AF1897" s="10"/>
      <c r="AG1897" s="10"/>
      <c r="AH1897" s="10"/>
    </row>
    <row r="1898" spans="6:34" x14ac:dyDescent="0.25">
      <c r="F1898" s="22"/>
      <c r="G1898" s="23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24"/>
      <c r="T1898" s="23"/>
      <c r="U1898" s="10"/>
      <c r="V1898" s="10"/>
      <c r="W1898" s="10"/>
      <c r="X1898" s="10"/>
      <c r="Y1898" s="10"/>
      <c r="Z1898" s="10"/>
      <c r="AA1898" s="10"/>
      <c r="AB1898" s="10"/>
      <c r="AC1898" s="10"/>
      <c r="AD1898" s="25"/>
      <c r="AE1898" s="10"/>
      <c r="AF1898" s="10"/>
      <c r="AG1898" s="10"/>
      <c r="AH1898" s="10"/>
    </row>
    <row r="1899" spans="6:34" x14ac:dyDescent="0.25">
      <c r="F1899" s="22"/>
      <c r="G1899" s="23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24"/>
      <c r="T1899" s="23"/>
      <c r="U1899" s="10"/>
      <c r="V1899" s="10"/>
      <c r="W1899" s="10"/>
      <c r="X1899" s="10"/>
      <c r="Y1899" s="10"/>
      <c r="Z1899" s="10"/>
      <c r="AA1899" s="10"/>
      <c r="AB1899" s="10"/>
      <c r="AC1899" s="10"/>
      <c r="AD1899" s="25"/>
      <c r="AE1899" s="10"/>
      <c r="AF1899" s="10"/>
      <c r="AG1899" s="10"/>
      <c r="AH1899" s="10"/>
    </row>
    <row r="1900" spans="6:34" x14ac:dyDescent="0.25">
      <c r="F1900" s="22"/>
      <c r="G1900" s="23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24"/>
      <c r="T1900" s="23"/>
      <c r="U1900" s="10"/>
      <c r="V1900" s="10"/>
      <c r="W1900" s="10"/>
      <c r="X1900" s="10"/>
      <c r="Y1900" s="10"/>
      <c r="Z1900" s="10"/>
      <c r="AA1900" s="10"/>
      <c r="AB1900" s="10"/>
      <c r="AC1900" s="10"/>
      <c r="AD1900" s="25"/>
      <c r="AE1900" s="10"/>
      <c r="AF1900" s="10"/>
      <c r="AG1900" s="10"/>
      <c r="AH1900" s="10"/>
    </row>
    <row r="1901" spans="6:34" x14ac:dyDescent="0.25">
      <c r="F1901" s="22"/>
      <c r="G1901" s="23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24"/>
      <c r="T1901" s="23"/>
      <c r="U1901" s="10"/>
      <c r="V1901" s="10"/>
      <c r="W1901" s="10"/>
      <c r="X1901" s="10"/>
      <c r="Y1901" s="10"/>
      <c r="Z1901" s="10"/>
      <c r="AA1901" s="10"/>
      <c r="AB1901" s="10"/>
      <c r="AC1901" s="10"/>
      <c r="AD1901" s="25"/>
      <c r="AE1901" s="10"/>
      <c r="AF1901" s="10"/>
      <c r="AG1901" s="10"/>
      <c r="AH1901" s="10"/>
    </row>
    <row r="1902" spans="6:34" x14ac:dyDescent="0.25">
      <c r="F1902" s="22"/>
      <c r="G1902" s="23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24"/>
      <c r="T1902" s="23"/>
      <c r="U1902" s="10"/>
      <c r="V1902" s="10"/>
      <c r="W1902" s="10"/>
      <c r="X1902" s="10"/>
      <c r="Y1902" s="10"/>
      <c r="Z1902" s="10"/>
      <c r="AA1902" s="10"/>
      <c r="AB1902" s="10"/>
      <c r="AC1902" s="10"/>
      <c r="AD1902" s="25"/>
      <c r="AE1902" s="10"/>
      <c r="AF1902" s="10"/>
      <c r="AG1902" s="10"/>
      <c r="AH1902" s="10"/>
    </row>
    <row r="1903" spans="6:34" x14ac:dyDescent="0.25">
      <c r="F1903" s="22"/>
      <c r="G1903" s="23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24"/>
      <c r="T1903" s="23"/>
      <c r="U1903" s="10"/>
      <c r="V1903" s="10"/>
      <c r="W1903" s="10"/>
      <c r="X1903" s="10"/>
      <c r="Y1903" s="10"/>
      <c r="Z1903" s="10"/>
      <c r="AA1903" s="10"/>
      <c r="AB1903" s="10"/>
      <c r="AC1903" s="10"/>
      <c r="AD1903" s="25"/>
      <c r="AE1903" s="10"/>
      <c r="AF1903" s="10"/>
      <c r="AG1903" s="10"/>
      <c r="AH1903" s="10"/>
    </row>
    <row r="1904" spans="6:34" x14ac:dyDescent="0.25">
      <c r="F1904" s="22"/>
      <c r="G1904" s="23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24"/>
      <c r="T1904" s="23"/>
      <c r="U1904" s="10"/>
      <c r="V1904" s="10"/>
      <c r="W1904" s="10"/>
      <c r="X1904" s="10"/>
      <c r="Y1904" s="10"/>
      <c r="Z1904" s="10"/>
      <c r="AA1904" s="10"/>
      <c r="AB1904" s="10"/>
      <c r="AC1904" s="10"/>
      <c r="AD1904" s="25"/>
      <c r="AE1904" s="10"/>
      <c r="AF1904" s="10"/>
      <c r="AG1904" s="10"/>
      <c r="AH1904" s="10"/>
    </row>
    <row r="1905" spans="6:34" x14ac:dyDescent="0.25">
      <c r="F1905" s="22"/>
      <c r="G1905" s="23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24"/>
      <c r="T1905" s="23"/>
      <c r="U1905" s="10"/>
      <c r="V1905" s="10"/>
      <c r="W1905" s="10"/>
      <c r="X1905" s="10"/>
      <c r="Y1905" s="10"/>
      <c r="Z1905" s="10"/>
      <c r="AA1905" s="10"/>
      <c r="AB1905" s="10"/>
      <c r="AC1905" s="10"/>
      <c r="AD1905" s="25"/>
      <c r="AE1905" s="10"/>
      <c r="AF1905" s="10"/>
      <c r="AG1905" s="10"/>
      <c r="AH1905" s="10"/>
    </row>
    <row r="1906" spans="6:34" x14ac:dyDescent="0.25">
      <c r="F1906" s="22"/>
      <c r="G1906" s="23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24"/>
      <c r="T1906" s="23"/>
      <c r="U1906" s="10"/>
      <c r="V1906" s="10"/>
      <c r="W1906" s="10"/>
      <c r="X1906" s="10"/>
      <c r="Y1906" s="10"/>
      <c r="Z1906" s="10"/>
      <c r="AA1906" s="10"/>
      <c r="AB1906" s="10"/>
      <c r="AC1906" s="10"/>
      <c r="AD1906" s="25"/>
      <c r="AE1906" s="10"/>
      <c r="AF1906" s="10"/>
      <c r="AG1906" s="10"/>
      <c r="AH1906" s="10"/>
    </row>
    <row r="1907" spans="6:34" x14ac:dyDescent="0.25">
      <c r="F1907" s="22"/>
      <c r="G1907" s="23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24"/>
      <c r="T1907" s="23"/>
      <c r="U1907" s="10"/>
      <c r="V1907" s="10"/>
      <c r="W1907" s="10"/>
      <c r="X1907" s="10"/>
      <c r="Y1907" s="10"/>
      <c r="Z1907" s="10"/>
      <c r="AA1907" s="10"/>
      <c r="AB1907" s="10"/>
      <c r="AC1907" s="10"/>
      <c r="AD1907" s="25"/>
      <c r="AE1907" s="10"/>
      <c r="AF1907" s="10"/>
      <c r="AG1907" s="10"/>
      <c r="AH1907" s="10"/>
    </row>
    <row r="1908" spans="6:34" x14ac:dyDescent="0.25">
      <c r="F1908" s="22"/>
      <c r="G1908" s="23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24"/>
      <c r="T1908" s="23"/>
      <c r="U1908" s="10"/>
      <c r="V1908" s="10"/>
      <c r="W1908" s="10"/>
      <c r="X1908" s="10"/>
      <c r="Y1908" s="10"/>
      <c r="Z1908" s="10"/>
      <c r="AA1908" s="10"/>
      <c r="AB1908" s="10"/>
      <c r="AC1908" s="10"/>
      <c r="AD1908" s="25"/>
      <c r="AE1908" s="10"/>
      <c r="AF1908" s="10"/>
      <c r="AG1908" s="10"/>
      <c r="AH1908" s="10"/>
    </row>
    <row r="1909" spans="6:34" x14ac:dyDescent="0.25">
      <c r="F1909" s="22"/>
      <c r="G1909" s="23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24"/>
      <c r="T1909" s="23"/>
      <c r="U1909" s="10"/>
      <c r="V1909" s="10"/>
      <c r="W1909" s="10"/>
      <c r="X1909" s="10"/>
      <c r="Y1909" s="10"/>
      <c r="Z1909" s="10"/>
      <c r="AA1909" s="10"/>
      <c r="AB1909" s="10"/>
      <c r="AC1909" s="10"/>
      <c r="AD1909" s="25"/>
      <c r="AE1909" s="10"/>
      <c r="AF1909" s="10"/>
      <c r="AG1909" s="10"/>
      <c r="AH1909" s="10"/>
    </row>
    <row r="1910" spans="6:34" x14ac:dyDescent="0.25">
      <c r="F1910" s="22"/>
      <c r="G1910" s="23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24"/>
      <c r="T1910" s="23"/>
      <c r="U1910" s="10"/>
      <c r="V1910" s="10"/>
      <c r="W1910" s="10"/>
      <c r="X1910" s="10"/>
      <c r="Y1910" s="10"/>
      <c r="Z1910" s="10"/>
      <c r="AA1910" s="10"/>
      <c r="AB1910" s="10"/>
      <c r="AC1910" s="10"/>
      <c r="AD1910" s="25"/>
      <c r="AE1910" s="10"/>
      <c r="AF1910" s="10"/>
      <c r="AG1910" s="10"/>
      <c r="AH1910" s="10"/>
    </row>
    <row r="1911" spans="6:34" x14ac:dyDescent="0.25">
      <c r="F1911" s="22"/>
      <c r="G1911" s="23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24"/>
      <c r="T1911" s="23"/>
      <c r="U1911" s="10"/>
      <c r="V1911" s="10"/>
      <c r="W1911" s="10"/>
      <c r="X1911" s="10"/>
      <c r="Y1911" s="10"/>
      <c r="Z1911" s="10"/>
      <c r="AA1911" s="10"/>
      <c r="AB1911" s="10"/>
      <c r="AC1911" s="10"/>
      <c r="AD1911" s="25"/>
      <c r="AE1911" s="10"/>
      <c r="AF1911" s="10"/>
      <c r="AG1911" s="10"/>
      <c r="AH1911" s="10"/>
    </row>
    <row r="1912" spans="6:34" x14ac:dyDescent="0.25">
      <c r="F1912" s="22"/>
      <c r="G1912" s="23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24"/>
      <c r="T1912" s="23"/>
      <c r="U1912" s="10"/>
      <c r="V1912" s="10"/>
      <c r="W1912" s="10"/>
      <c r="X1912" s="10"/>
      <c r="Y1912" s="10"/>
      <c r="Z1912" s="10"/>
      <c r="AA1912" s="10"/>
      <c r="AB1912" s="10"/>
      <c r="AC1912" s="10"/>
      <c r="AD1912" s="25"/>
      <c r="AE1912" s="10"/>
      <c r="AF1912" s="10"/>
      <c r="AG1912" s="10"/>
      <c r="AH1912" s="10"/>
    </row>
    <row r="1913" spans="6:34" x14ac:dyDescent="0.25">
      <c r="F1913" s="22"/>
      <c r="G1913" s="23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24"/>
      <c r="T1913" s="23"/>
      <c r="U1913" s="10"/>
      <c r="V1913" s="10"/>
      <c r="W1913" s="10"/>
      <c r="X1913" s="10"/>
      <c r="Y1913" s="10"/>
      <c r="Z1913" s="10"/>
      <c r="AA1913" s="10"/>
      <c r="AB1913" s="10"/>
      <c r="AC1913" s="10"/>
      <c r="AD1913" s="25"/>
      <c r="AE1913" s="10"/>
      <c r="AF1913" s="10"/>
      <c r="AG1913" s="10"/>
      <c r="AH1913" s="10"/>
    </row>
    <row r="1914" spans="6:34" x14ac:dyDescent="0.25">
      <c r="F1914" s="22"/>
      <c r="G1914" s="23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24"/>
      <c r="T1914" s="23"/>
      <c r="U1914" s="10"/>
      <c r="V1914" s="10"/>
      <c r="W1914" s="10"/>
      <c r="X1914" s="10"/>
      <c r="Y1914" s="10"/>
      <c r="Z1914" s="10"/>
      <c r="AA1914" s="10"/>
      <c r="AB1914" s="10"/>
      <c r="AC1914" s="10"/>
      <c r="AD1914" s="25"/>
      <c r="AE1914" s="10"/>
      <c r="AF1914" s="10"/>
      <c r="AG1914" s="10"/>
      <c r="AH1914" s="10"/>
    </row>
    <row r="1915" spans="6:34" x14ac:dyDescent="0.25">
      <c r="F1915" s="22"/>
      <c r="G1915" s="23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24"/>
      <c r="T1915" s="23"/>
      <c r="U1915" s="10"/>
      <c r="V1915" s="10"/>
      <c r="W1915" s="10"/>
      <c r="X1915" s="10"/>
      <c r="Y1915" s="10"/>
      <c r="Z1915" s="10"/>
      <c r="AA1915" s="10"/>
      <c r="AB1915" s="10"/>
      <c r="AC1915" s="10"/>
      <c r="AD1915" s="25"/>
      <c r="AE1915" s="10"/>
      <c r="AF1915" s="10"/>
      <c r="AG1915" s="10"/>
      <c r="AH1915" s="10"/>
    </row>
    <row r="1916" spans="6:34" x14ac:dyDescent="0.25">
      <c r="F1916" s="22"/>
      <c r="G1916" s="23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24"/>
      <c r="T1916" s="23"/>
      <c r="U1916" s="10"/>
      <c r="V1916" s="10"/>
      <c r="W1916" s="10"/>
      <c r="X1916" s="10"/>
      <c r="Y1916" s="10"/>
      <c r="Z1916" s="10"/>
      <c r="AA1916" s="10"/>
      <c r="AB1916" s="10"/>
      <c r="AC1916" s="10"/>
      <c r="AD1916" s="25"/>
      <c r="AE1916" s="10"/>
      <c r="AF1916" s="10"/>
      <c r="AG1916" s="10"/>
      <c r="AH1916" s="10"/>
    </row>
    <row r="1917" spans="6:34" x14ac:dyDescent="0.25">
      <c r="F1917" s="22"/>
      <c r="G1917" s="23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24"/>
      <c r="T1917" s="23"/>
      <c r="U1917" s="10"/>
      <c r="V1917" s="10"/>
      <c r="W1917" s="10"/>
      <c r="X1917" s="10"/>
      <c r="Y1917" s="10"/>
      <c r="Z1917" s="10"/>
      <c r="AA1917" s="10"/>
      <c r="AB1917" s="10"/>
      <c r="AC1917" s="10"/>
      <c r="AD1917" s="25"/>
      <c r="AE1917" s="10"/>
      <c r="AF1917" s="10"/>
      <c r="AG1917" s="10"/>
      <c r="AH1917" s="10"/>
    </row>
    <row r="1918" spans="6:34" x14ac:dyDescent="0.25">
      <c r="F1918" s="22"/>
      <c r="G1918" s="23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24"/>
      <c r="T1918" s="23"/>
      <c r="U1918" s="10"/>
      <c r="V1918" s="10"/>
      <c r="W1918" s="10"/>
      <c r="X1918" s="10"/>
      <c r="Y1918" s="10"/>
      <c r="Z1918" s="10"/>
      <c r="AA1918" s="10"/>
      <c r="AB1918" s="10"/>
      <c r="AC1918" s="10"/>
      <c r="AD1918" s="25"/>
      <c r="AE1918" s="10"/>
      <c r="AF1918" s="10"/>
      <c r="AG1918" s="10"/>
      <c r="AH1918" s="10"/>
    </row>
    <row r="1919" spans="6:34" x14ac:dyDescent="0.25">
      <c r="F1919" s="22"/>
      <c r="G1919" s="23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24"/>
      <c r="T1919" s="23"/>
      <c r="U1919" s="10"/>
      <c r="V1919" s="10"/>
      <c r="W1919" s="10"/>
      <c r="X1919" s="10"/>
      <c r="Y1919" s="10"/>
      <c r="Z1919" s="10"/>
      <c r="AA1919" s="10"/>
      <c r="AB1919" s="10"/>
      <c r="AC1919" s="10"/>
      <c r="AD1919" s="25"/>
      <c r="AE1919" s="10"/>
      <c r="AF1919" s="10"/>
      <c r="AG1919" s="10"/>
      <c r="AH1919" s="10"/>
    </row>
    <row r="1920" spans="6:34" x14ac:dyDescent="0.25">
      <c r="F1920" s="22"/>
      <c r="G1920" s="23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24"/>
      <c r="T1920" s="23"/>
      <c r="U1920" s="10"/>
      <c r="V1920" s="10"/>
      <c r="W1920" s="10"/>
      <c r="X1920" s="10"/>
      <c r="Y1920" s="10"/>
      <c r="Z1920" s="10"/>
      <c r="AA1920" s="10"/>
      <c r="AB1920" s="10"/>
      <c r="AC1920" s="10"/>
      <c r="AD1920" s="25"/>
      <c r="AE1920" s="10"/>
      <c r="AF1920" s="10"/>
      <c r="AG1920" s="10"/>
      <c r="AH1920" s="10"/>
    </row>
    <row r="1921" spans="6:34" x14ac:dyDescent="0.25">
      <c r="F1921" s="22"/>
      <c r="G1921" s="23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24"/>
      <c r="T1921" s="23"/>
      <c r="U1921" s="10"/>
      <c r="V1921" s="10"/>
      <c r="W1921" s="10"/>
      <c r="X1921" s="10"/>
      <c r="Y1921" s="10"/>
      <c r="Z1921" s="10"/>
      <c r="AA1921" s="10"/>
      <c r="AB1921" s="10"/>
      <c r="AC1921" s="10"/>
      <c r="AD1921" s="25"/>
      <c r="AE1921" s="10"/>
      <c r="AF1921" s="10"/>
      <c r="AG1921" s="10"/>
      <c r="AH1921" s="10"/>
    </row>
    <row r="1922" spans="6:34" x14ac:dyDescent="0.25">
      <c r="F1922" s="22"/>
      <c r="G1922" s="23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24"/>
      <c r="T1922" s="23"/>
      <c r="U1922" s="10"/>
      <c r="V1922" s="10"/>
      <c r="W1922" s="10"/>
      <c r="X1922" s="10"/>
      <c r="Y1922" s="10"/>
      <c r="Z1922" s="10"/>
      <c r="AA1922" s="10"/>
      <c r="AB1922" s="10"/>
      <c r="AC1922" s="10"/>
      <c r="AD1922" s="25"/>
      <c r="AE1922" s="10"/>
      <c r="AF1922" s="10"/>
      <c r="AG1922" s="10"/>
      <c r="AH1922" s="10"/>
    </row>
    <row r="1923" spans="6:34" x14ac:dyDescent="0.25">
      <c r="F1923" s="22"/>
      <c r="G1923" s="23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24"/>
      <c r="T1923" s="23"/>
      <c r="U1923" s="10"/>
      <c r="V1923" s="10"/>
      <c r="W1923" s="10"/>
      <c r="X1923" s="10"/>
      <c r="Y1923" s="10"/>
      <c r="Z1923" s="10"/>
      <c r="AA1923" s="10"/>
      <c r="AB1923" s="10"/>
      <c r="AC1923" s="10"/>
      <c r="AD1923" s="25"/>
      <c r="AE1923" s="10"/>
      <c r="AF1923" s="10"/>
      <c r="AG1923" s="10"/>
      <c r="AH1923" s="10"/>
    </row>
    <row r="1924" spans="6:34" x14ac:dyDescent="0.25">
      <c r="F1924" s="22"/>
      <c r="G1924" s="23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24"/>
      <c r="T1924" s="23"/>
      <c r="U1924" s="10"/>
      <c r="V1924" s="10"/>
      <c r="W1924" s="10"/>
      <c r="X1924" s="10"/>
      <c r="Y1924" s="10"/>
      <c r="Z1924" s="10"/>
      <c r="AA1924" s="10"/>
      <c r="AB1924" s="10"/>
      <c r="AC1924" s="10"/>
      <c r="AD1924" s="25"/>
      <c r="AE1924" s="10"/>
      <c r="AF1924" s="10"/>
      <c r="AG1924" s="10"/>
      <c r="AH1924" s="10"/>
    </row>
    <row r="1925" spans="6:34" x14ac:dyDescent="0.25">
      <c r="F1925" s="22"/>
      <c r="G1925" s="23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24"/>
      <c r="T1925" s="23"/>
      <c r="U1925" s="10"/>
      <c r="V1925" s="10"/>
      <c r="W1925" s="10"/>
      <c r="X1925" s="10"/>
      <c r="Y1925" s="10"/>
      <c r="Z1925" s="10"/>
      <c r="AA1925" s="10"/>
      <c r="AB1925" s="10"/>
      <c r="AC1925" s="10"/>
      <c r="AD1925" s="25"/>
      <c r="AE1925" s="10"/>
      <c r="AF1925" s="10"/>
      <c r="AG1925" s="10"/>
      <c r="AH1925" s="10"/>
    </row>
    <row r="1926" spans="6:34" x14ac:dyDescent="0.25">
      <c r="F1926" s="22"/>
      <c r="G1926" s="23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24"/>
      <c r="T1926" s="23"/>
      <c r="U1926" s="10"/>
      <c r="V1926" s="10"/>
      <c r="W1926" s="10"/>
      <c r="X1926" s="10"/>
      <c r="Y1926" s="10"/>
      <c r="Z1926" s="10"/>
      <c r="AA1926" s="10"/>
      <c r="AB1926" s="10"/>
      <c r="AC1926" s="10"/>
      <c r="AD1926" s="25"/>
      <c r="AE1926" s="10"/>
      <c r="AF1926" s="10"/>
      <c r="AG1926" s="10"/>
      <c r="AH1926" s="10"/>
    </row>
    <row r="1927" spans="6:34" x14ac:dyDescent="0.25">
      <c r="F1927" s="22"/>
      <c r="G1927" s="23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24"/>
      <c r="T1927" s="23"/>
      <c r="U1927" s="10"/>
      <c r="V1927" s="10"/>
      <c r="W1927" s="10"/>
      <c r="X1927" s="10"/>
      <c r="Y1927" s="10"/>
      <c r="Z1927" s="10"/>
      <c r="AA1927" s="10"/>
      <c r="AB1927" s="10"/>
      <c r="AC1927" s="10"/>
      <c r="AD1927" s="25"/>
      <c r="AE1927" s="10"/>
      <c r="AF1927" s="10"/>
      <c r="AG1927" s="10"/>
      <c r="AH1927" s="10"/>
    </row>
    <row r="1928" spans="6:34" x14ac:dyDescent="0.25">
      <c r="F1928" s="22"/>
      <c r="G1928" s="23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24"/>
      <c r="T1928" s="23"/>
      <c r="U1928" s="10"/>
      <c r="V1928" s="10"/>
      <c r="W1928" s="10"/>
      <c r="X1928" s="10"/>
      <c r="Y1928" s="10"/>
      <c r="Z1928" s="10"/>
      <c r="AA1928" s="10"/>
      <c r="AB1928" s="10"/>
      <c r="AC1928" s="10"/>
      <c r="AD1928" s="25"/>
      <c r="AE1928" s="10"/>
      <c r="AF1928" s="10"/>
      <c r="AG1928" s="10"/>
      <c r="AH1928" s="10"/>
    </row>
    <row r="1929" spans="6:34" x14ac:dyDescent="0.25">
      <c r="F1929" s="22"/>
      <c r="G1929" s="23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24"/>
      <c r="T1929" s="23"/>
      <c r="U1929" s="10"/>
      <c r="V1929" s="10"/>
      <c r="W1929" s="10"/>
      <c r="X1929" s="10"/>
      <c r="Y1929" s="10"/>
      <c r="Z1929" s="10"/>
      <c r="AA1929" s="10"/>
      <c r="AB1929" s="10"/>
      <c r="AC1929" s="10"/>
      <c r="AD1929" s="25"/>
      <c r="AE1929" s="10"/>
      <c r="AF1929" s="10"/>
      <c r="AG1929" s="10"/>
      <c r="AH1929" s="10"/>
    </row>
    <row r="1930" spans="6:34" x14ac:dyDescent="0.25">
      <c r="F1930" s="22"/>
      <c r="G1930" s="23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24"/>
      <c r="T1930" s="23"/>
      <c r="U1930" s="10"/>
      <c r="V1930" s="10"/>
      <c r="W1930" s="10"/>
      <c r="X1930" s="10"/>
      <c r="Y1930" s="10"/>
      <c r="Z1930" s="10"/>
      <c r="AA1930" s="10"/>
      <c r="AB1930" s="10"/>
      <c r="AC1930" s="10"/>
      <c r="AD1930" s="25"/>
      <c r="AE1930" s="10"/>
      <c r="AF1930" s="10"/>
      <c r="AG1930" s="10"/>
      <c r="AH1930" s="10"/>
    </row>
    <row r="1931" spans="6:34" x14ac:dyDescent="0.25">
      <c r="F1931" s="22"/>
      <c r="G1931" s="23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24"/>
      <c r="T1931" s="23"/>
      <c r="U1931" s="10"/>
      <c r="V1931" s="10"/>
      <c r="W1931" s="10"/>
      <c r="X1931" s="10"/>
      <c r="Y1931" s="10"/>
      <c r="Z1931" s="10"/>
      <c r="AA1931" s="10"/>
      <c r="AB1931" s="10"/>
      <c r="AC1931" s="10"/>
      <c r="AD1931" s="25"/>
      <c r="AE1931" s="10"/>
      <c r="AF1931" s="10"/>
      <c r="AG1931" s="10"/>
      <c r="AH1931" s="10"/>
    </row>
    <row r="1932" spans="6:34" x14ac:dyDescent="0.25">
      <c r="F1932" s="22"/>
      <c r="G1932" s="23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24"/>
      <c r="T1932" s="23"/>
      <c r="U1932" s="10"/>
      <c r="V1932" s="10"/>
      <c r="W1932" s="10"/>
      <c r="X1932" s="10"/>
      <c r="Y1932" s="10"/>
      <c r="Z1932" s="10"/>
      <c r="AA1932" s="10"/>
      <c r="AB1932" s="10"/>
      <c r="AC1932" s="10"/>
      <c r="AD1932" s="25"/>
      <c r="AE1932" s="10"/>
      <c r="AF1932" s="10"/>
      <c r="AG1932" s="10"/>
      <c r="AH1932" s="10"/>
    </row>
    <row r="1933" spans="6:34" x14ac:dyDescent="0.25">
      <c r="F1933" s="22"/>
      <c r="G1933" s="23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24"/>
      <c r="T1933" s="23"/>
      <c r="U1933" s="10"/>
      <c r="V1933" s="10"/>
      <c r="W1933" s="10"/>
      <c r="X1933" s="10"/>
      <c r="Y1933" s="10"/>
      <c r="Z1933" s="10"/>
      <c r="AA1933" s="10"/>
      <c r="AB1933" s="10"/>
      <c r="AC1933" s="10"/>
      <c r="AD1933" s="25"/>
      <c r="AE1933" s="10"/>
      <c r="AF1933" s="10"/>
      <c r="AG1933" s="10"/>
      <c r="AH1933" s="10"/>
    </row>
    <row r="1934" spans="6:34" x14ac:dyDescent="0.25">
      <c r="F1934" s="22"/>
      <c r="G1934" s="23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24"/>
      <c r="T1934" s="23"/>
      <c r="U1934" s="10"/>
      <c r="V1934" s="10"/>
      <c r="W1934" s="10"/>
      <c r="X1934" s="10"/>
      <c r="Y1934" s="10"/>
      <c r="Z1934" s="10"/>
      <c r="AA1934" s="10"/>
      <c r="AB1934" s="10"/>
      <c r="AC1934" s="10"/>
      <c r="AD1934" s="25"/>
      <c r="AE1934" s="10"/>
      <c r="AF1934" s="10"/>
      <c r="AG1934" s="10"/>
      <c r="AH1934" s="10"/>
    </row>
    <row r="1935" spans="6:34" x14ac:dyDescent="0.25">
      <c r="F1935" s="22"/>
      <c r="G1935" s="23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24"/>
      <c r="T1935" s="23"/>
      <c r="U1935" s="10"/>
      <c r="V1935" s="10"/>
      <c r="W1935" s="10"/>
      <c r="X1935" s="10"/>
      <c r="Y1935" s="10"/>
      <c r="Z1935" s="10"/>
      <c r="AA1935" s="10"/>
      <c r="AB1935" s="10"/>
      <c r="AC1935" s="10"/>
      <c r="AD1935" s="25"/>
      <c r="AE1935" s="10"/>
      <c r="AF1935" s="10"/>
      <c r="AG1935" s="10"/>
      <c r="AH1935" s="10"/>
    </row>
    <row r="1936" spans="6:34" x14ac:dyDescent="0.25">
      <c r="F1936" s="22"/>
      <c r="G1936" s="23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24"/>
      <c r="T1936" s="23"/>
      <c r="U1936" s="10"/>
      <c r="V1936" s="10"/>
      <c r="W1936" s="10"/>
      <c r="X1936" s="10"/>
      <c r="Y1936" s="10"/>
      <c r="Z1936" s="10"/>
      <c r="AA1936" s="10"/>
      <c r="AB1936" s="10"/>
      <c r="AC1936" s="10"/>
      <c r="AD1936" s="25"/>
      <c r="AE1936" s="10"/>
      <c r="AF1936" s="10"/>
      <c r="AG1936" s="10"/>
      <c r="AH1936" s="10"/>
    </row>
    <row r="1937" spans="6:34" x14ac:dyDescent="0.25">
      <c r="F1937" s="22"/>
      <c r="G1937" s="23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24"/>
      <c r="T1937" s="23"/>
      <c r="U1937" s="10"/>
      <c r="V1937" s="10"/>
      <c r="W1937" s="10"/>
      <c r="X1937" s="10"/>
      <c r="Y1937" s="10"/>
      <c r="Z1937" s="10"/>
      <c r="AA1937" s="10"/>
      <c r="AB1937" s="10"/>
      <c r="AC1937" s="10"/>
      <c r="AD1937" s="25"/>
      <c r="AE1937" s="10"/>
      <c r="AF1937" s="10"/>
      <c r="AG1937" s="10"/>
      <c r="AH1937" s="10"/>
    </row>
    <row r="1938" spans="6:34" x14ac:dyDescent="0.25">
      <c r="F1938" s="22"/>
      <c r="G1938" s="23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24"/>
      <c r="T1938" s="23"/>
      <c r="U1938" s="10"/>
      <c r="V1938" s="10"/>
      <c r="W1938" s="10"/>
      <c r="X1938" s="10"/>
      <c r="Y1938" s="10"/>
      <c r="Z1938" s="10"/>
      <c r="AA1938" s="10"/>
      <c r="AB1938" s="10"/>
      <c r="AC1938" s="10"/>
      <c r="AD1938" s="25"/>
      <c r="AE1938" s="10"/>
      <c r="AF1938" s="10"/>
      <c r="AG1938" s="10"/>
      <c r="AH1938" s="10"/>
    </row>
    <row r="1939" spans="6:34" x14ac:dyDescent="0.25">
      <c r="F1939" s="22"/>
      <c r="G1939" s="23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24"/>
      <c r="T1939" s="23"/>
      <c r="U1939" s="10"/>
      <c r="V1939" s="10"/>
      <c r="W1939" s="10"/>
      <c r="X1939" s="10"/>
      <c r="Y1939" s="10"/>
      <c r="Z1939" s="10"/>
      <c r="AA1939" s="10"/>
      <c r="AB1939" s="10"/>
      <c r="AC1939" s="10"/>
      <c r="AD1939" s="25"/>
      <c r="AE1939" s="10"/>
      <c r="AF1939" s="10"/>
      <c r="AG1939" s="10"/>
      <c r="AH1939" s="10"/>
    </row>
    <row r="1940" spans="6:34" x14ac:dyDescent="0.25">
      <c r="F1940" s="22"/>
      <c r="G1940" s="23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24"/>
      <c r="T1940" s="23"/>
      <c r="U1940" s="10"/>
      <c r="V1940" s="10"/>
      <c r="W1940" s="10"/>
      <c r="X1940" s="10"/>
      <c r="Y1940" s="10"/>
      <c r="Z1940" s="10"/>
      <c r="AA1940" s="10"/>
      <c r="AB1940" s="10"/>
      <c r="AC1940" s="10"/>
      <c r="AD1940" s="25"/>
      <c r="AE1940" s="10"/>
      <c r="AF1940" s="10"/>
      <c r="AG1940" s="10"/>
      <c r="AH1940" s="10"/>
    </row>
    <row r="1941" spans="6:34" x14ac:dyDescent="0.25">
      <c r="F1941" s="22"/>
      <c r="G1941" s="23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24"/>
      <c r="T1941" s="23"/>
      <c r="U1941" s="10"/>
      <c r="V1941" s="10"/>
      <c r="W1941" s="10"/>
      <c r="X1941" s="10"/>
      <c r="Y1941" s="10"/>
      <c r="Z1941" s="10"/>
      <c r="AA1941" s="10"/>
      <c r="AB1941" s="10"/>
      <c r="AC1941" s="10"/>
      <c r="AD1941" s="25"/>
      <c r="AE1941" s="10"/>
      <c r="AF1941" s="10"/>
      <c r="AG1941" s="10"/>
      <c r="AH1941" s="10"/>
    </row>
    <row r="1942" spans="6:34" x14ac:dyDescent="0.25">
      <c r="F1942" s="22"/>
      <c r="G1942" s="23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24"/>
      <c r="T1942" s="23"/>
      <c r="U1942" s="10"/>
      <c r="V1942" s="10"/>
      <c r="W1942" s="10"/>
      <c r="X1942" s="10"/>
      <c r="Y1942" s="10"/>
      <c r="Z1942" s="10"/>
      <c r="AA1942" s="10"/>
      <c r="AB1942" s="10"/>
      <c r="AC1942" s="10"/>
      <c r="AD1942" s="25"/>
      <c r="AE1942" s="10"/>
      <c r="AF1942" s="10"/>
      <c r="AG1942" s="10"/>
      <c r="AH1942" s="10"/>
    </row>
    <row r="1943" spans="6:34" x14ac:dyDescent="0.25">
      <c r="F1943" s="22"/>
      <c r="G1943" s="23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24"/>
      <c r="T1943" s="23"/>
      <c r="U1943" s="10"/>
      <c r="V1943" s="10"/>
      <c r="W1943" s="10"/>
      <c r="X1943" s="10"/>
      <c r="Y1943" s="10"/>
      <c r="Z1943" s="10"/>
      <c r="AA1943" s="10"/>
      <c r="AB1943" s="10"/>
      <c r="AC1943" s="10"/>
      <c r="AD1943" s="25"/>
      <c r="AE1943" s="10"/>
      <c r="AF1943" s="10"/>
      <c r="AG1943" s="10"/>
      <c r="AH1943" s="10"/>
    </row>
    <row r="1944" spans="6:34" x14ac:dyDescent="0.25">
      <c r="F1944" s="22"/>
      <c r="G1944" s="23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24"/>
      <c r="T1944" s="23"/>
      <c r="U1944" s="10"/>
      <c r="V1944" s="10"/>
      <c r="W1944" s="10"/>
      <c r="X1944" s="10"/>
      <c r="Y1944" s="10"/>
      <c r="Z1944" s="10"/>
      <c r="AA1944" s="10"/>
      <c r="AB1944" s="10"/>
      <c r="AC1944" s="10"/>
      <c r="AD1944" s="25"/>
      <c r="AE1944" s="10"/>
      <c r="AF1944" s="10"/>
      <c r="AG1944" s="10"/>
      <c r="AH1944" s="10"/>
    </row>
    <row r="3795" ht="23.25" customHeight="1" x14ac:dyDescent="0.25"/>
  </sheetData>
  <mergeCells count="703">
    <mergeCell ref="BK1087:BK1090"/>
    <mergeCell ref="C1068:C1070"/>
    <mergeCell ref="D1068:D1070"/>
    <mergeCell ref="C1071:C1075"/>
    <mergeCell ref="C1001:C1003"/>
    <mergeCell ref="D1053:D1056"/>
    <mergeCell ref="D1057:D1059"/>
    <mergeCell ref="C1053:C1059"/>
    <mergeCell ref="C1061:C1062"/>
    <mergeCell ref="D1061:D1062"/>
    <mergeCell ref="C1063:C1066"/>
    <mergeCell ref="D1063:D1064"/>
    <mergeCell ref="D1065:D1066"/>
    <mergeCell ref="BK1033:BK1035"/>
    <mergeCell ref="C1077:C1081"/>
    <mergeCell ref="D1082:D1083"/>
    <mergeCell ref="C1082:C1083"/>
    <mergeCell ref="C1033:C1035"/>
    <mergeCell ref="D1036:D1039"/>
    <mergeCell ref="C1036:C1039"/>
    <mergeCell ref="D1021:D1023"/>
    <mergeCell ref="C1045:C1046"/>
    <mergeCell ref="D1047:D1052"/>
    <mergeCell ref="C1047:C1052"/>
    <mergeCell ref="D889:D890"/>
    <mergeCell ref="C889:C890"/>
    <mergeCell ref="C993:C995"/>
    <mergeCell ref="C998:C1000"/>
    <mergeCell ref="C934:C937"/>
    <mergeCell ref="C893:C897"/>
    <mergeCell ref="D898:D901"/>
    <mergeCell ref="D893:D897"/>
    <mergeCell ref="C898:C901"/>
    <mergeCell ref="C905:C908"/>
    <mergeCell ref="C909:C912"/>
    <mergeCell ref="C913:C916"/>
    <mergeCell ref="C917:C928"/>
    <mergeCell ref="C930:C931"/>
    <mergeCell ref="D938:D941"/>
    <mergeCell ref="C938:C941"/>
    <mergeCell ref="BK356:BK358"/>
    <mergeCell ref="BK324:BK328"/>
    <mergeCell ref="BK321:BK323"/>
    <mergeCell ref="BK314:BK320"/>
    <mergeCell ref="BK308:BK313"/>
    <mergeCell ref="BK1007:BK1023"/>
    <mergeCell ref="D1024:D1027"/>
    <mergeCell ref="C1007:C1031"/>
    <mergeCell ref="BK1024:BK1031"/>
    <mergeCell ref="C454:C456"/>
    <mergeCell ref="D454:D456"/>
    <mergeCell ref="C714:C716"/>
    <mergeCell ref="C717:C719"/>
    <mergeCell ref="C778:C779"/>
    <mergeCell ref="D778:D779"/>
    <mergeCell ref="C763:C766"/>
    <mergeCell ref="D763:D766"/>
    <mergeCell ref="C780:C789"/>
    <mergeCell ref="C724:C729"/>
    <mergeCell ref="C730:C749"/>
    <mergeCell ref="C750:C751"/>
    <mergeCell ref="C752:C757"/>
    <mergeCell ref="C758:C760"/>
    <mergeCell ref="C761:C762"/>
    <mergeCell ref="BK362:BK366"/>
    <mergeCell ref="BK359:BK361"/>
    <mergeCell ref="BK435:BK441"/>
    <mergeCell ref="BK429:BK434"/>
    <mergeCell ref="BK426:BK428"/>
    <mergeCell ref="BK423:BK425"/>
    <mergeCell ref="BK418:BK422"/>
    <mergeCell ref="BK415:BK417"/>
    <mergeCell ref="BK410:BK414"/>
    <mergeCell ref="BK406:BK409"/>
    <mergeCell ref="BK396:BK405"/>
    <mergeCell ref="BK393:BK395"/>
    <mergeCell ref="BK389:BK392"/>
    <mergeCell ref="BK383:BK388"/>
    <mergeCell ref="BK376:BK382"/>
    <mergeCell ref="BK373:BK375"/>
    <mergeCell ref="BK367:BK372"/>
    <mergeCell ref="BK306:BK307"/>
    <mergeCell ref="BK302:BK305"/>
    <mergeCell ref="BK297:BK301"/>
    <mergeCell ref="BK168:BK174"/>
    <mergeCell ref="BK162:BK165"/>
    <mergeCell ref="BK144:BK149"/>
    <mergeCell ref="BK244:BK248"/>
    <mergeCell ref="BK238:BK243"/>
    <mergeCell ref="BK232:BK236"/>
    <mergeCell ref="BK216:BK231"/>
    <mergeCell ref="BK209:BK215"/>
    <mergeCell ref="BK199:BK208"/>
    <mergeCell ref="BK196:BK198"/>
    <mergeCell ref="BK194:BK195"/>
    <mergeCell ref="BK178:BK185"/>
    <mergeCell ref="BK176:BK177"/>
    <mergeCell ref="BK186:BK193"/>
    <mergeCell ref="BK292:BK295"/>
    <mergeCell ref="BK286:BK290"/>
    <mergeCell ref="BK250:BK269"/>
    <mergeCell ref="BK471:BK474"/>
    <mergeCell ref="BK461:BK470"/>
    <mergeCell ref="BK457:BK460"/>
    <mergeCell ref="BK454:BK456"/>
    <mergeCell ref="BK450:BK453"/>
    <mergeCell ref="BK444:BK445"/>
    <mergeCell ref="BK442:BK443"/>
    <mergeCell ref="BK513:BK518"/>
    <mergeCell ref="BK511:BK512"/>
    <mergeCell ref="BK507:BK510"/>
    <mergeCell ref="BK502:BK506"/>
    <mergeCell ref="BK498:BK501"/>
    <mergeCell ref="BK495:BK497"/>
    <mergeCell ref="BK492:BK494"/>
    <mergeCell ref="BK489:BK491"/>
    <mergeCell ref="BK481:BK488"/>
    <mergeCell ref="BK750:BK751"/>
    <mergeCell ref="BK730:BK749"/>
    <mergeCell ref="BK724:BK729"/>
    <mergeCell ref="BK585:BK593"/>
    <mergeCell ref="BK577:BK584"/>
    <mergeCell ref="BK574:BK576"/>
    <mergeCell ref="BK571:BK573"/>
    <mergeCell ref="BK560:BK570"/>
    <mergeCell ref="BK558:BK559"/>
    <mergeCell ref="BK704:BK713"/>
    <mergeCell ref="BK701:BK703"/>
    <mergeCell ref="BK696:BK700"/>
    <mergeCell ref="BK625:BK635"/>
    <mergeCell ref="BK594:BK601"/>
    <mergeCell ref="BK721:BK723"/>
    <mergeCell ref="BK717:BK719"/>
    <mergeCell ref="BK714:BK716"/>
    <mergeCell ref="BK692:BK694"/>
    <mergeCell ref="BK689:BK691"/>
    <mergeCell ref="BK684:BK688"/>
    <mergeCell ref="BK678:BK683"/>
    <mergeCell ref="BK673:BK677"/>
    <mergeCell ref="BK664:BK672"/>
    <mergeCell ref="BK661:BK663"/>
    <mergeCell ref="BK792:BK795"/>
    <mergeCell ref="BK790:BK791"/>
    <mergeCell ref="BK780:BK789"/>
    <mergeCell ref="BK778:BK779"/>
    <mergeCell ref="BK767:BK777"/>
    <mergeCell ref="BK763:BK766"/>
    <mergeCell ref="BK761:BK762"/>
    <mergeCell ref="BK758:BK760"/>
    <mergeCell ref="BK752:BK757"/>
    <mergeCell ref="BK835:BK836"/>
    <mergeCell ref="BK830:BK834"/>
    <mergeCell ref="BK818:BK829"/>
    <mergeCell ref="BK814:BK817"/>
    <mergeCell ref="BK810:BK813"/>
    <mergeCell ref="BK805:BK809"/>
    <mergeCell ref="BK803:BK804"/>
    <mergeCell ref="BK801:BK802"/>
    <mergeCell ref="BK796:BK797"/>
    <mergeCell ref="BK798:BK800"/>
    <mergeCell ref="C704:C713"/>
    <mergeCell ref="C721:C723"/>
    <mergeCell ref="C636:C641"/>
    <mergeCell ref="C642:C643"/>
    <mergeCell ref="C645:C647"/>
    <mergeCell ref="C649:C655"/>
    <mergeCell ref="C656:C660"/>
    <mergeCell ref="C661:C663"/>
    <mergeCell ref="C664:C672"/>
    <mergeCell ref="C673:C677"/>
    <mergeCell ref="C678:C683"/>
    <mergeCell ref="C684:C688"/>
    <mergeCell ref="C689:C691"/>
    <mergeCell ref="C692:C694"/>
    <mergeCell ref="C696:C700"/>
    <mergeCell ref="C701:C703"/>
    <mergeCell ref="D298:D301"/>
    <mergeCell ref="D410:D414"/>
    <mergeCell ref="D356:D358"/>
    <mergeCell ref="D362:D366"/>
    <mergeCell ref="D367:D372"/>
    <mergeCell ref="D376:D382"/>
    <mergeCell ref="D402:D404"/>
    <mergeCell ref="C492:C494"/>
    <mergeCell ref="C495:C497"/>
    <mergeCell ref="D457:D458"/>
    <mergeCell ref="D481:D485"/>
    <mergeCell ref="D475:D480"/>
    <mergeCell ref="D471:D474"/>
    <mergeCell ref="D495:D497"/>
    <mergeCell ref="C461:C470"/>
    <mergeCell ref="C471:C474"/>
    <mergeCell ref="C475:C480"/>
    <mergeCell ref="C481:C488"/>
    <mergeCell ref="C489:C491"/>
    <mergeCell ref="D399:D401"/>
    <mergeCell ref="D396:D398"/>
    <mergeCell ref="D336:D338"/>
    <mergeCell ref="D339:D341"/>
    <mergeCell ref="D342:D345"/>
    <mergeCell ref="C270:C285"/>
    <mergeCell ref="C286:C290"/>
    <mergeCell ref="C292:C295"/>
    <mergeCell ref="C373:C375"/>
    <mergeCell ref="C297:C301"/>
    <mergeCell ref="C302:C305"/>
    <mergeCell ref="C306:C307"/>
    <mergeCell ref="C308:C313"/>
    <mergeCell ref="C314:C320"/>
    <mergeCell ref="C321:C323"/>
    <mergeCell ref="C324:C328"/>
    <mergeCell ref="C329:C355"/>
    <mergeCell ref="C356:C358"/>
    <mergeCell ref="C367:C372"/>
    <mergeCell ref="C359:C361"/>
    <mergeCell ref="D160:D161"/>
    <mergeCell ref="D244:D248"/>
    <mergeCell ref="D250:D255"/>
    <mergeCell ref="D256:D261"/>
    <mergeCell ref="C457:C460"/>
    <mergeCell ref="C362:C366"/>
    <mergeCell ref="C423:C425"/>
    <mergeCell ref="C426:C428"/>
    <mergeCell ref="D389:D392"/>
    <mergeCell ref="D406:D409"/>
    <mergeCell ref="D429:D434"/>
    <mergeCell ref="D435:D441"/>
    <mergeCell ref="C415:C417"/>
    <mergeCell ref="C418:C422"/>
    <mergeCell ref="C429:C434"/>
    <mergeCell ref="C435:C441"/>
    <mergeCell ref="C442:C443"/>
    <mergeCell ref="C444:C445"/>
    <mergeCell ref="C446:C449"/>
    <mergeCell ref="C450:C453"/>
    <mergeCell ref="D262:D267"/>
    <mergeCell ref="C238:C243"/>
    <mergeCell ref="C244:C248"/>
    <mergeCell ref="D450:D453"/>
    <mergeCell ref="BK2:BK3"/>
    <mergeCell ref="BK4:BK12"/>
    <mergeCell ref="BK155:BK156"/>
    <mergeCell ref="BK150:BK151"/>
    <mergeCell ref="BK152:BK154"/>
    <mergeCell ref="D16:D20"/>
    <mergeCell ref="D21:D25"/>
    <mergeCell ref="D26:D28"/>
    <mergeCell ref="D52:D56"/>
    <mergeCell ref="D57:D60"/>
    <mergeCell ref="D61:D63"/>
    <mergeCell ref="D103:D106"/>
    <mergeCell ref="D107:D110"/>
    <mergeCell ref="D116:D121"/>
    <mergeCell ref="D123:D124"/>
    <mergeCell ref="D133:D136"/>
    <mergeCell ref="D139:D142"/>
    <mergeCell ref="D146:D148"/>
    <mergeCell ref="D152:D154"/>
    <mergeCell ref="BK137:BK138"/>
    <mergeCell ref="BK29:BK48"/>
    <mergeCell ref="BK21:BK28"/>
    <mergeCell ref="BK64:BK70"/>
    <mergeCell ref="BK656:BK660"/>
    <mergeCell ref="BK649:BK655"/>
    <mergeCell ref="BK645:BK647"/>
    <mergeCell ref="BK642:BK643"/>
    <mergeCell ref="BK636:BK641"/>
    <mergeCell ref="BK13:BK20"/>
    <mergeCell ref="BK131:BK132"/>
    <mergeCell ref="BK133:BK136"/>
    <mergeCell ref="BK556:BK557"/>
    <mergeCell ref="BK552:BK555"/>
    <mergeCell ref="BK538:BK551"/>
    <mergeCell ref="BK535:BK537"/>
    <mergeCell ref="BK533:BK534"/>
    <mergeCell ref="BK528:BK532"/>
    <mergeCell ref="BK519:BK527"/>
    <mergeCell ref="BK139:BK143"/>
    <mergeCell ref="BK71:BK72"/>
    <mergeCell ref="BK73:BK90"/>
    <mergeCell ref="BK91:BK93"/>
    <mergeCell ref="BK99:BK110"/>
    <mergeCell ref="BK123:BK130"/>
    <mergeCell ref="BK94:BK98"/>
    <mergeCell ref="BK111:BK121"/>
    <mergeCell ref="BK475:BK480"/>
    <mergeCell ref="C2:C3"/>
    <mergeCell ref="C4:C12"/>
    <mergeCell ref="C13:C20"/>
    <mergeCell ref="C21:C28"/>
    <mergeCell ref="D29:D33"/>
    <mergeCell ref="D34:D38"/>
    <mergeCell ref="D39:D43"/>
    <mergeCell ref="D44:D48"/>
    <mergeCell ref="D49:D51"/>
    <mergeCell ref="D4:D7"/>
    <mergeCell ref="D8:D10"/>
    <mergeCell ref="C64:C70"/>
    <mergeCell ref="C49:C63"/>
    <mergeCell ref="C29:C48"/>
    <mergeCell ref="C71:C72"/>
    <mergeCell ref="D73:D90"/>
    <mergeCell ref="C73:C90"/>
    <mergeCell ref="C91:C93"/>
    <mergeCell ref="D94:D98"/>
    <mergeCell ref="C94:C98"/>
    <mergeCell ref="C99:C110"/>
    <mergeCell ref="C123:C130"/>
    <mergeCell ref="C131:C132"/>
    <mergeCell ref="C133:C136"/>
    <mergeCell ref="C137:C138"/>
    <mergeCell ref="D137:D138"/>
    <mergeCell ref="C139:C143"/>
    <mergeCell ref="C144:C149"/>
    <mergeCell ref="C152:C154"/>
    <mergeCell ref="C150:C151"/>
    <mergeCell ref="C155:C156"/>
    <mergeCell ref="C157:C161"/>
    <mergeCell ref="C111:C121"/>
    <mergeCell ref="D111:D115"/>
    <mergeCell ref="C162:C165"/>
    <mergeCell ref="C216:C231"/>
    <mergeCell ref="C209:C215"/>
    <mergeCell ref="C199:C208"/>
    <mergeCell ref="C196:C198"/>
    <mergeCell ref="C178:C185"/>
    <mergeCell ref="C186:C193"/>
    <mergeCell ref="C194:C195"/>
    <mergeCell ref="C168:C174"/>
    <mergeCell ref="C176:C177"/>
    <mergeCell ref="D194:D195"/>
    <mergeCell ref="D162:D165"/>
    <mergeCell ref="D196:D198"/>
    <mergeCell ref="D199:D208"/>
    <mergeCell ref="D209:D215"/>
    <mergeCell ref="D216:D221"/>
    <mergeCell ref="D189:D191"/>
    <mergeCell ref="D222:D225"/>
    <mergeCell ref="D226:D231"/>
    <mergeCell ref="D157:D159"/>
    <mergeCell ref="C250:C269"/>
    <mergeCell ref="C232:C236"/>
    <mergeCell ref="D232:D236"/>
    <mergeCell ref="D507:D510"/>
    <mergeCell ref="D511:D512"/>
    <mergeCell ref="D502:D506"/>
    <mergeCell ref="D498:D501"/>
    <mergeCell ref="D314:D317"/>
    <mergeCell ref="D318:D320"/>
    <mergeCell ref="D303:D305"/>
    <mergeCell ref="D329:D335"/>
    <mergeCell ref="D276:D278"/>
    <mergeCell ref="D279:D281"/>
    <mergeCell ref="D286:D290"/>
    <mergeCell ref="D346:D347"/>
    <mergeCell ref="D348:D352"/>
    <mergeCell ref="D415:D417"/>
    <mergeCell ref="D418:D422"/>
    <mergeCell ref="D423:D425"/>
    <mergeCell ref="D426:D428"/>
    <mergeCell ref="D446:D449"/>
    <mergeCell ref="D444:D445"/>
    <mergeCell ref="D442:D443"/>
    <mergeCell ref="D461:D470"/>
    <mergeCell ref="C383:C388"/>
    <mergeCell ref="C389:C392"/>
    <mergeCell ref="C393:C395"/>
    <mergeCell ref="C396:C405"/>
    <mergeCell ref="C376:C382"/>
    <mergeCell ref="C406:C409"/>
    <mergeCell ref="C410:C414"/>
    <mergeCell ref="D594:D597"/>
    <mergeCell ref="D574:D576"/>
    <mergeCell ref="D567:D568"/>
    <mergeCell ref="D569:D570"/>
    <mergeCell ref="D524:D527"/>
    <mergeCell ref="D521:D523"/>
    <mergeCell ref="D519:D520"/>
    <mergeCell ref="D516:D518"/>
    <mergeCell ref="D513:D515"/>
    <mergeCell ref="D533:D534"/>
    <mergeCell ref="D548:D551"/>
    <mergeCell ref="D558:D559"/>
    <mergeCell ref="D552:D555"/>
    <mergeCell ref="C498:C501"/>
    <mergeCell ref="C502:C506"/>
    <mergeCell ref="C507:C510"/>
    <mergeCell ref="C511:C512"/>
    <mergeCell ref="C513:C518"/>
    <mergeCell ref="C519:C527"/>
    <mergeCell ref="C528:C532"/>
    <mergeCell ref="C533:C534"/>
    <mergeCell ref="C535:C537"/>
    <mergeCell ref="D649:D655"/>
    <mergeCell ref="D656:D660"/>
    <mergeCell ref="D661:D663"/>
    <mergeCell ref="D664:D669"/>
    <mergeCell ref="C538:C551"/>
    <mergeCell ref="C552:C555"/>
    <mergeCell ref="C556:C557"/>
    <mergeCell ref="C558:C559"/>
    <mergeCell ref="C560:C570"/>
    <mergeCell ref="C571:C573"/>
    <mergeCell ref="C574:C576"/>
    <mergeCell ref="C577:C584"/>
    <mergeCell ref="C585:C593"/>
    <mergeCell ref="C594:C601"/>
    <mergeCell ref="C625:C635"/>
    <mergeCell ref="C602:C624"/>
    <mergeCell ref="D625:D629"/>
    <mergeCell ref="D630:D632"/>
    <mergeCell ref="D633:D635"/>
    <mergeCell ref="D673:D677"/>
    <mergeCell ref="D678:D683"/>
    <mergeCell ref="D684:D688"/>
    <mergeCell ref="D689:D691"/>
    <mergeCell ref="D692:D694"/>
    <mergeCell ref="D750:D751"/>
    <mergeCell ref="D752:D757"/>
    <mergeCell ref="D758:D760"/>
    <mergeCell ref="D696:D700"/>
    <mergeCell ref="D704:D707"/>
    <mergeCell ref="D708:D710"/>
    <mergeCell ref="D717:D719"/>
    <mergeCell ref="D721:D723"/>
    <mergeCell ref="D724:D729"/>
    <mergeCell ref="D730:D733"/>
    <mergeCell ref="D734:D735"/>
    <mergeCell ref="D736:D739"/>
    <mergeCell ref="D740:D743"/>
    <mergeCell ref="D744:D746"/>
    <mergeCell ref="D747:D749"/>
    <mergeCell ref="C837:C846"/>
    <mergeCell ref="D857:D860"/>
    <mergeCell ref="C857:C860"/>
    <mergeCell ref="D767:D777"/>
    <mergeCell ref="D780:D784"/>
    <mergeCell ref="D785:D789"/>
    <mergeCell ref="D792:D795"/>
    <mergeCell ref="D798:D800"/>
    <mergeCell ref="D805:D809"/>
    <mergeCell ref="C790:C791"/>
    <mergeCell ref="C792:C795"/>
    <mergeCell ref="C835:C836"/>
    <mergeCell ref="C796:C797"/>
    <mergeCell ref="C798:C800"/>
    <mergeCell ref="C801:C802"/>
    <mergeCell ref="C803:C804"/>
    <mergeCell ref="C805:C809"/>
    <mergeCell ref="C810:C813"/>
    <mergeCell ref="C814:C817"/>
    <mergeCell ref="C818:C829"/>
    <mergeCell ref="C830:C834"/>
    <mergeCell ref="C767:C777"/>
    <mergeCell ref="C876:C877"/>
    <mergeCell ref="D878:D882"/>
    <mergeCell ref="C878:C882"/>
    <mergeCell ref="C884:C887"/>
    <mergeCell ref="D867:D872"/>
    <mergeCell ref="C867:C872"/>
    <mergeCell ref="D873:D875"/>
    <mergeCell ref="C873:C875"/>
    <mergeCell ref="D810:D813"/>
    <mergeCell ref="D814:D817"/>
    <mergeCell ref="D818:D821"/>
    <mergeCell ref="D822:D825"/>
    <mergeCell ref="D826:D829"/>
    <mergeCell ref="D830:D834"/>
    <mergeCell ref="D835:D836"/>
    <mergeCell ref="D841:D843"/>
    <mergeCell ref="D844:D846"/>
    <mergeCell ref="D861:D866"/>
    <mergeCell ref="C861:C866"/>
    <mergeCell ref="D837:D838"/>
    <mergeCell ref="D839:D840"/>
    <mergeCell ref="C847:C851"/>
    <mergeCell ref="D852:D856"/>
    <mergeCell ref="C852:C856"/>
    <mergeCell ref="C1041:C1043"/>
    <mergeCell ref="C942:C977"/>
    <mergeCell ref="C978:C980"/>
    <mergeCell ref="C981:C988"/>
    <mergeCell ref="D1004:D1006"/>
    <mergeCell ref="C1004:C1006"/>
    <mergeCell ref="D1009:D1013"/>
    <mergeCell ref="D1014:D1016"/>
    <mergeCell ref="D1017:D1020"/>
    <mergeCell ref="C990:C992"/>
    <mergeCell ref="D990:D992"/>
    <mergeCell ref="D993:D995"/>
    <mergeCell ref="C1108:C1110"/>
    <mergeCell ref="D1111:D1114"/>
    <mergeCell ref="C1111:C1114"/>
    <mergeCell ref="C1105:C1107"/>
    <mergeCell ref="C1084:C1086"/>
    <mergeCell ref="D1084:D1086"/>
    <mergeCell ref="D1087:D1090"/>
    <mergeCell ref="C1087:C1090"/>
    <mergeCell ref="C1095:C1097"/>
    <mergeCell ref="D1101:D1103"/>
    <mergeCell ref="D1098:D1100"/>
    <mergeCell ref="C1098:C1104"/>
    <mergeCell ref="B4:B12"/>
    <mergeCell ref="B2:B3"/>
    <mergeCell ref="B13:B20"/>
    <mergeCell ref="B21:B28"/>
    <mergeCell ref="B29:B48"/>
    <mergeCell ref="B49:B63"/>
    <mergeCell ref="B64:B70"/>
    <mergeCell ref="B71:B72"/>
    <mergeCell ref="B73:B90"/>
    <mergeCell ref="B91:B93"/>
    <mergeCell ref="B362:B366"/>
    <mergeCell ref="B359:B361"/>
    <mergeCell ref="B356:B358"/>
    <mergeCell ref="B329:B355"/>
    <mergeCell ref="B324:B328"/>
    <mergeCell ref="B321:B323"/>
    <mergeCell ref="B314:B320"/>
    <mergeCell ref="B308:B313"/>
    <mergeCell ref="B306:B307"/>
    <mergeCell ref="B302:B305"/>
    <mergeCell ref="B297:B301"/>
    <mergeCell ref="B292:B295"/>
    <mergeCell ref="B286:B290"/>
    <mergeCell ref="B270:B285"/>
    <mergeCell ref="B250:B269"/>
    <mergeCell ref="B244:B248"/>
    <mergeCell ref="B238:B243"/>
    <mergeCell ref="B232:B236"/>
    <mergeCell ref="B216:B231"/>
    <mergeCell ref="B209:B215"/>
    <mergeCell ref="B199:B208"/>
    <mergeCell ref="B196:B198"/>
    <mergeCell ref="B194:B195"/>
    <mergeCell ref="B186:B193"/>
    <mergeCell ref="B178:B185"/>
    <mergeCell ref="B168:B174"/>
    <mergeCell ref="B162:B165"/>
    <mergeCell ref="B157:B161"/>
    <mergeCell ref="B155:B156"/>
    <mergeCell ref="B152:B154"/>
    <mergeCell ref="B150:B151"/>
    <mergeCell ref="B144:B149"/>
    <mergeCell ref="B139:B143"/>
    <mergeCell ref="B137:B138"/>
    <mergeCell ref="B133:B136"/>
    <mergeCell ref="B131:B132"/>
    <mergeCell ref="B123:B130"/>
    <mergeCell ref="B111:B121"/>
    <mergeCell ref="B99:B110"/>
    <mergeCell ref="B94:B98"/>
    <mergeCell ref="B176:B177"/>
    <mergeCell ref="B367:B372"/>
    <mergeCell ref="B373:B375"/>
    <mergeCell ref="B376:B382"/>
    <mergeCell ref="B383:B388"/>
    <mergeCell ref="B389:B392"/>
    <mergeCell ref="B393:B395"/>
    <mergeCell ref="B396:B405"/>
    <mergeCell ref="B406:B409"/>
    <mergeCell ref="B410:B414"/>
    <mergeCell ref="B415:B417"/>
    <mergeCell ref="B418:B422"/>
    <mergeCell ref="B423:B425"/>
    <mergeCell ref="B426:B428"/>
    <mergeCell ref="B429:B434"/>
    <mergeCell ref="B435:B441"/>
    <mergeCell ref="B442:B443"/>
    <mergeCell ref="B444:B445"/>
    <mergeCell ref="B446:B449"/>
    <mergeCell ref="B450:B453"/>
    <mergeCell ref="B454:B456"/>
    <mergeCell ref="B457:B460"/>
    <mergeCell ref="B461:B470"/>
    <mergeCell ref="B471:B474"/>
    <mergeCell ref="B475:B480"/>
    <mergeCell ref="B481:B488"/>
    <mergeCell ref="B489:B491"/>
    <mergeCell ref="B492:B494"/>
    <mergeCell ref="B495:B497"/>
    <mergeCell ref="B498:B501"/>
    <mergeCell ref="B502:B506"/>
    <mergeCell ref="B507:B510"/>
    <mergeCell ref="B511:B512"/>
    <mergeCell ref="B513:B518"/>
    <mergeCell ref="B519:B527"/>
    <mergeCell ref="B528:B532"/>
    <mergeCell ref="B533:B534"/>
    <mergeCell ref="B535:B537"/>
    <mergeCell ref="B538:B551"/>
    <mergeCell ref="B552:B555"/>
    <mergeCell ref="B556:B557"/>
    <mergeCell ref="B558:B559"/>
    <mergeCell ref="B560:B570"/>
    <mergeCell ref="B571:B573"/>
    <mergeCell ref="B574:B576"/>
    <mergeCell ref="B577:B584"/>
    <mergeCell ref="B585:B593"/>
    <mergeCell ref="B594:B601"/>
    <mergeCell ref="B602:B624"/>
    <mergeCell ref="B625:B635"/>
    <mergeCell ref="B636:B641"/>
    <mergeCell ref="B642:B643"/>
    <mergeCell ref="B645:B647"/>
    <mergeCell ref="B649:B655"/>
    <mergeCell ref="B656:B660"/>
    <mergeCell ref="B661:B663"/>
    <mergeCell ref="B664:B672"/>
    <mergeCell ref="B673:B677"/>
    <mergeCell ref="B678:B683"/>
    <mergeCell ref="B684:B688"/>
    <mergeCell ref="B689:B691"/>
    <mergeCell ref="B692:B694"/>
    <mergeCell ref="B696:B700"/>
    <mergeCell ref="B701:B703"/>
    <mergeCell ref="B704:B713"/>
    <mergeCell ref="B714:B716"/>
    <mergeCell ref="B717:B719"/>
    <mergeCell ref="B721:B723"/>
    <mergeCell ref="B724:B729"/>
    <mergeCell ref="B730:B749"/>
    <mergeCell ref="B750:B751"/>
    <mergeCell ref="B752:B757"/>
    <mergeCell ref="B758:B760"/>
    <mergeCell ref="B761:B762"/>
    <mergeCell ref="B763:B766"/>
    <mergeCell ref="B767:B777"/>
    <mergeCell ref="B778:B779"/>
    <mergeCell ref="B780:B789"/>
    <mergeCell ref="B790:B791"/>
    <mergeCell ref="B792:B795"/>
    <mergeCell ref="B796:B797"/>
    <mergeCell ref="B798:B800"/>
    <mergeCell ref="B801:B802"/>
    <mergeCell ref="B803:B804"/>
    <mergeCell ref="B805:B809"/>
    <mergeCell ref="B810:B813"/>
    <mergeCell ref="B814:B817"/>
    <mergeCell ref="B818:B829"/>
    <mergeCell ref="B830:B834"/>
    <mergeCell ref="B835:B836"/>
    <mergeCell ref="B837:B846"/>
    <mergeCell ref="B847:B851"/>
    <mergeCell ref="B852:B856"/>
    <mergeCell ref="B857:B860"/>
    <mergeCell ref="B861:B866"/>
    <mergeCell ref="B867:B872"/>
    <mergeCell ref="B873:B875"/>
    <mergeCell ref="B876:B877"/>
    <mergeCell ref="B878:B882"/>
    <mergeCell ref="B884:B887"/>
    <mergeCell ref="B889:B890"/>
    <mergeCell ref="B893:B897"/>
    <mergeCell ref="B898:B901"/>
    <mergeCell ref="B905:B908"/>
    <mergeCell ref="B909:B912"/>
    <mergeCell ref="B913:B916"/>
    <mergeCell ref="B917:B928"/>
    <mergeCell ref="B930:B931"/>
    <mergeCell ref="B934:B937"/>
    <mergeCell ref="B938:B941"/>
    <mergeCell ref="B942:B977"/>
    <mergeCell ref="B978:B980"/>
    <mergeCell ref="B981:B988"/>
    <mergeCell ref="B990:B992"/>
    <mergeCell ref="B993:B995"/>
    <mergeCell ref="B998:B1000"/>
    <mergeCell ref="B1001:B1003"/>
    <mergeCell ref="B1004:B1006"/>
    <mergeCell ref="B1007:B1031"/>
    <mergeCell ref="B1033:B1035"/>
    <mergeCell ref="B1036:B1039"/>
    <mergeCell ref="B1041:B1043"/>
    <mergeCell ref="B1045:B1046"/>
    <mergeCell ref="B1047:B1052"/>
    <mergeCell ref="B1053:B1059"/>
    <mergeCell ref="B1061:B1062"/>
    <mergeCell ref="B1063:B1066"/>
    <mergeCell ref="B1108:B1110"/>
    <mergeCell ref="B1111:B1114"/>
    <mergeCell ref="D966:D971"/>
    <mergeCell ref="D972:D977"/>
    <mergeCell ref="D960:D965"/>
    <mergeCell ref="D942:D947"/>
    <mergeCell ref="D948:D953"/>
    <mergeCell ref="D954:D959"/>
    <mergeCell ref="BK276:BK278"/>
    <mergeCell ref="BK336:BK338"/>
    <mergeCell ref="BK446:BK448"/>
    <mergeCell ref="BK616:BK618"/>
    <mergeCell ref="BK876:BK877"/>
    <mergeCell ref="BK884:BK887"/>
    <mergeCell ref="BK1111:BK1114"/>
    <mergeCell ref="B1068:B1070"/>
    <mergeCell ref="B1071:B1075"/>
    <mergeCell ref="B1077:B1081"/>
    <mergeCell ref="B1082:B1083"/>
    <mergeCell ref="B1084:B1086"/>
    <mergeCell ref="B1087:B1090"/>
    <mergeCell ref="B1095:B1097"/>
    <mergeCell ref="B1098:B1104"/>
    <mergeCell ref="B1105:B1107"/>
  </mergeCells>
  <phoneticPr fontId="1" type="noConversion"/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1-13 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cmsm</dc:creator>
  <cp:lastModifiedBy>Anton Bolyachkin</cp:lastModifiedBy>
  <cp:lastPrinted>2020-12-25T00:16:00Z</cp:lastPrinted>
  <dcterms:created xsi:type="dcterms:W3CDTF">2015-06-05T18:17:20Z</dcterms:created>
  <dcterms:modified xsi:type="dcterms:W3CDTF">2024-07-22T07:14:58Z</dcterms:modified>
</cp:coreProperties>
</file>